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9.xml" ContentType="application/vnd.openxmlformats-officedocument.drawing+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1.xml" ContentType="application/vnd.openxmlformats-officedocument.drawing+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2.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charts/chart26.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initha Kumar\Documents\Hanke - Summer Research 2015\Hungary Research\"/>
    </mc:Choice>
  </mc:AlternateContent>
  <bookViews>
    <workbookView xWindow="0" yWindow="0" windowWidth="20490" windowHeight="7755"/>
  </bookViews>
  <sheets>
    <sheet name="Table of Contents" sheetId="21" r:id="rId1"/>
    <sheet name="Tab 1" sheetId="1" r:id="rId2"/>
    <sheet name="Tab 2" sheetId="3" r:id="rId3"/>
    <sheet name="Tab 3" sheetId="7" r:id="rId4"/>
    <sheet name="Tab 4" sheetId="6" r:id="rId5"/>
    <sheet name="Tab 5" sheetId="8" r:id="rId6"/>
    <sheet name="Tab 6" sheetId="10" r:id="rId7"/>
    <sheet name="Tab 7" sheetId="11" r:id="rId8"/>
    <sheet name="Tab 8" sheetId="13" r:id="rId9"/>
    <sheet name="Tab 9" sheetId="14" r:id="rId10"/>
    <sheet name="Tab 10" sheetId="15" r:id="rId11"/>
    <sheet name="Tab 11" sheetId="17" r:id="rId12"/>
    <sheet name="Tab 12" sheetId="18" r:id="rId13"/>
    <sheet name="Tab 13" sheetId="19" r:id="rId14"/>
    <sheet name="Tab 14" sheetId="20" r:id="rId15"/>
    <sheet name="Tab 15" sheetId="22" r:id="rId16"/>
    <sheet name="Tab 16" sheetId="23" r:id="rId17"/>
  </sheets>
  <calcPr calcId="16291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2" i="14" l="1"/>
  <c r="D102" i="14"/>
  <c r="D105" i="14"/>
  <c r="D106" i="14"/>
  <c r="D107" i="14"/>
  <c r="D108" i="14"/>
  <c r="D109" i="14"/>
  <c r="D104" i="14"/>
  <c r="H18" i="20"/>
  <c r="H23" i="20"/>
  <c r="B56" i="17"/>
  <c r="B55" i="17"/>
  <c r="F19" i="22"/>
  <c r="F20" i="22"/>
  <c r="F21" i="22"/>
  <c r="F22" i="22"/>
  <c r="F23" i="22"/>
  <c r="F24" i="22"/>
  <c r="F25" i="22"/>
  <c r="F26" i="22"/>
  <c r="F27" i="22"/>
  <c r="F28" i="22"/>
  <c r="F29" i="22"/>
  <c r="F30" i="22"/>
  <c r="F18" i="22"/>
  <c r="E19" i="22"/>
  <c r="E20" i="22"/>
  <c r="E21" i="22"/>
  <c r="E22" i="22"/>
  <c r="E23" i="22"/>
  <c r="E24" i="22"/>
  <c r="E25" i="22"/>
  <c r="E26" i="22"/>
  <c r="E27" i="22"/>
  <c r="E28" i="22"/>
  <c r="E29" i="22"/>
  <c r="E30" i="22"/>
  <c r="E18" i="22"/>
  <c r="P5" i="22"/>
  <c r="P6" i="22"/>
  <c r="P7" i="22"/>
  <c r="P8" i="22"/>
  <c r="P9" i="22"/>
  <c r="P11" i="22"/>
  <c r="P12" i="22"/>
  <c r="P13" i="22"/>
  <c r="P14" i="22"/>
  <c r="P15" i="22"/>
  <c r="P16" i="22"/>
  <c r="P17" i="22"/>
  <c r="P18" i="22"/>
  <c r="P19" i="22"/>
  <c r="P20" i="22"/>
  <c r="P21" i="22"/>
  <c r="P22" i="22"/>
  <c r="P23" i="22"/>
  <c r="P24" i="22"/>
  <c r="P25" i="22"/>
  <c r="P26" i="22"/>
  <c r="P27" i="22"/>
  <c r="P28" i="22"/>
  <c r="P4" i="22"/>
  <c r="R21" i="20"/>
  <c r="AF21" i="20"/>
  <c r="R20" i="20"/>
  <c r="AF20" i="20"/>
  <c r="R19" i="20"/>
  <c r="AF19" i="20"/>
  <c r="R18" i="20"/>
  <c r="AF18" i="20"/>
  <c r="O21" i="20"/>
  <c r="AC21" i="20"/>
  <c r="O20" i="20"/>
  <c r="AC20" i="20"/>
  <c r="O19" i="20"/>
  <c r="AC19" i="20"/>
  <c r="O18" i="20"/>
  <c r="AC18" i="20"/>
  <c r="N21" i="20"/>
  <c r="AB21" i="20"/>
  <c r="N19" i="20"/>
  <c r="AB19" i="20"/>
  <c r="L18" i="20"/>
  <c r="Z18" i="20"/>
  <c r="K18" i="20"/>
  <c r="Y18" i="20"/>
  <c r="I18" i="20"/>
  <c r="W18" i="20"/>
  <c r="I19" i="20"/>
  <c r="W19" i="20"/>
  <c r="I20" i="20"/>
  <c r="W20" i="20"/>
  <c r="I21" i="20"/>
  <c r="W21" i="20"/>
  <c r="H20" i="20"/>
  <c r="V20" i="20"/>
  <c r="V18" i="20"/>
  <c r="P21" i="20"/>
  <c r="AD21" i="20"/>
  <c r="Q21" i="20"/>
  <c r="AE21" i="20"/>
  <c r="P20" i="20"/>
  <c r="AD20" i="20"/>
  <c r="Q20" i="20"/>
  <c r="AE20" i="20"/>
  <c r="P19" i="20"/>
  <c r="AD19" i="20"/>
  <c r="Q19" i="20"/>
  <c r="AE19" i="20"/>
  <c r="Q18" i="20"/>
  <c r="AE18" i="20"/>
  <c r="P18" i="20"/>
  <c r="AD18" i="20"/>
  <c r="O5" i="22"/>
  <c r="O6" i="22"/>
  <c r="O7" i="22"/>
  <c r="O8" i="22"/>
  <c r="O9" i="22"/>
  <c r="O10" i="22"/>
  <c r="O11" i="22"/>
  <c r="O12" i="22"/>
  <c r="O13" i="22"/>
  <c r="O14" i="22"/>
  <c r="O15" i="22"/>
  <c r="O16" i="22"/>
  <c r="O17" i="22"/>
  <c r="O18" i="22"/>
  <c r="O19" i="22"/>
  <c r="O20" i="22"/>
  <c r="O21" i="22"/>
  <c r="O22" i="22"/>
  <c r="O23" i="22"/>
  <c r="O24" i="22"/>
  <c r="O25" i="22"/>
  <c r="O26" i="22"/>
  <c r="O27" i="22"/>
  <c r="O28" i="22"/>
  <c r="O4" i="22"/>
  <c r="B88" i="17"/>
  <c r="B87" i="17"/>
  <c r="B86" i="17"/>
  <c r="B85" i="17"/>
  <c r="B84" i="17"/>
  <c r="B83" i="17"/>
  <c r="B82" i="17"/>
  <c r="B81" i="17"/>
  <c r="B80" i="17"/>
  <c r="B79" i="17"/>
  <c r="B78" i="17"/>
  <c r="B77" i="17"/>
  <c r="B76" i="17"/>
  <c r="B75" i="17"/>
  <c r="B74" i="17"/>
  <c r="B73" i="17"/>
  <c r="B72" i="17"/>
  <c r="B71" i="17"/>
  <c r="B70" i="17"/>
  <c r="B69" i="17"/>
  <c r="B68" i="17"/>
  <c r="B67" i="17"/>
  <c r="B66" i="17"/>
  <c r="B65" i="17"/>
  <c r="B64" i="17"/>
  <c r="B63" i="17"/>
  <c r="B62" i="17"/>
  <c r="B61" i="17"/>
  <c r="B60" i="17"/>
  <c r="A5" i="14"/>
  <c r="B44" i="17"/>
  <c r="B43" i="17"/>
  <c r="B42" i="17"/>
  <c r="B41" i="17"/>
  <c r="B34" i="17"/>
  <c r="B33" i="17"/>
  <c r="I88" i="15"/>
  <c r="H88" i="15"/>
  <c r="G88" i="15"/>
  <c r="I87" i="15"/>
  <c r="H87" i="15"/>
  <c r="G87" i="15"/>
  <c r="I86" i="15"/>
  <c r="H86" i="15"/>
  <c r="G86" i="15"/>
  <c r="I85" i="15"/>
  <c r="H85" i="15"/>
  <c r="G85" i="15"/>
  <c r="I84" i="15"/>
  <c r="H84" i="15"/>
  <c r="G84" i="15"/>
  <c r="I83" i="15"/>
  <c r="H83" i="15"/>
  <c r="G83" i="15"/>
  <c r="I82" i="15"/>
  <c r="H82" i="15"/>
  <c r="G82" i="15"/>
  <c r="I81" i="15"/>
  <c r="H81" i="15"/>
  <c r="G81" i="15"/>
  <c r="I80" i="15"/>
  <c r="H80" i="15"/>
  <c r="G80" i="15"/>
  <c r="I79" i="15"/>
  <c r="H79" i="15"/>
  <c r="G79" i="15"/>
  <c r="I78" i="15"/>
  <c r="H78" i="15"/>
  <c r="G78" i="15"/>
  <c r="B78" i="15"/>
  <c r="I77" i="15"/>
  <c r="H77" i="15"/>
  <c r="G77" i="15"/>
  <c r="I76" i="15"/>
  <c r="H76" i="15"/>
  <c r="G76" i="15"/>
  <c r="I75" i="15"/>
  <c r="H75" i="15"/>
  <c r="G75" i="15"/>
  <c r="I74" i="15"/>
  <c r="H74" i="15"/>
  <c r="G74" i="15"/>
  <c r="I73" i="15"/>
  <c r="H73" i="15"/>
  <c r="G73" i="15"/>
  <c r="I72" i="15"/>
  <c r="H72" i="15"/>
  <c r="G72" i="15"/>
  <c r="I71" i="15"/>
  <c r="H71" i="15"/>
  <c r="G71" i="15"/>
  <c r="I70" i="15"/>
  <c r="H70" i="15"/>
  <c r="G70" i="15"/>
  <c r="I69" i="15"/>
  <c r="H69" i="15"/>
  <c r="G69" i="15"/>
  <c r="I68" i="15"/>
  <c r="H68" i="15"/>
  <c r="G68" i="15"/>
  <c r="I67" i="15"/>
  <c r="H67" i="15"/>
  <c r="G67" i="15"/>
  <c r="I66" i="15"/>
  <c r="H66" i="15"/>
  <c r="G66" i="15"/>
  <c r="I65" i="15"/>
  <c r="H65" i="15"/>
  <c r="G65" i="15"/>
  <c r="I64" i="15"/>
  <c r="H64" i="15"/>
  <c r="G64" i="15"/>
  <c r="I63" i="15"/>
  <c r="H63" i="15"/>
  <c r="G63" i="15"/>
  <c r="I62" i="15"/>
  <c r="H62" i="15"/>
  <c r="G62" i="15"/>
  <c r="I61" i="15"/>
  <c r="H61" i="15"/>
  <c r="G61" i="15"/>
  <c r="I60" i="15"/>
  <c r="H60" i="15"/>
  <c r="G60" i="15"/>
  <c r="I59" i="15"/>
  <c r="H59" i="15"/>
  <c r="G59" i="15"/>
  <c r="I58" i="15"/>
  <c r="H58" i="15"/>
  <c r="G58" i="15"/>
  <c r="I57" i="15"/>
  <c r="H57" i="15"/>
  <c r="G57" i="15"/>
  <c r="I56" i="15"/>
  <c r="H56" i="15"/>
  <c r="G56" i="15"/>
  <c r="I55" i="15"/>
  <c r="H55" i="15"/>
  <c r="G55" i="15"/>
  <c r="I54" i="15"/>
  <c r="H54" i="15"/>
  <c r="G54" i="15"/>
  <c r="I53" i="15"/>
  <c r="H53" i="15"/>
  <c r="G53" i="15"/>
  <c r="I52" i="15"/>
  <c r="H52" i="15"/>
  <c r="G52" i="15"/>
  <c r="I51" i="15"/>
  <c r="H51" i="15"/>
  <c r="G51" i="15"/>
  <c r="I50" i="15"/>
  <c r="H50" i="15"/>
  <c r="G50" i="15"/>
  <c r="I49" i="15"/>
  <c r="H49" i="15"/>
  <c r="G49" i="15"/>
  <c r="I48" i="15"/>
  <c r="H48" i="15"/>
  <c r="G48" i="15"/>
  <c r="J47" i="15"/>
  <c r="I47" i="15"/>
  <c r="H47" i="15"/>
  <c r="G47" i="15"/>
  <c r="J46" i="15"/>
  <c r="I46" i="15"/>
  <c r="H46" i="15"/>
  <c r="G46" i="15"/>
  <c r="J45" i="15"/>
  <c r="I45" i="15"/>
  <c r="H45" i="15"/>
  <c r="G45" i="15"/>
  <c r="J44" i="15"/>
  <c r="J43" i="15"/>
  <c r="C29" i="15"/>
  <c r="B29" i="15"/>
  <c r="B22" i="15"/>
  <c r="B21" i="15"/>
  <c r="B20" i="15"/>
  <c r="K8" i="15"/>
  <c r="J8" i="15"/>
  <c r="K7" i="15"/>
  <c r="J7" i="15"/>
  <c r="K6" i="15"/>
  <c r="J6" i="15"/>
  <c r="K5" i="15"/>
  <c r="J5" i="15"/>
  <c r="K4" i="15"/>
  <c r="J4" i="15"/>
  <c r="D16" i="14"/>
  <c r="C16" i="14"/>
  <c r="B16" i="14"/>
  <c r="I64" i="11"/>
  <c r="H64" i="11"/>
  <c r="H58" i="11"/>
  <c r="H55" i="11"/>
  <c r="I53" i="11"/>
  <c r="H53" i="11"/>
  <c r="I52" i="11"/>
  <c r="E51" i="11"/>
  <c r="E50" i="11"/>
  <c r="E49" i="11"/>
  <c r="E48" i="11"/>
  <c r="E47" i="11"/>
  <c r="E46" i="11"/>
  <c r="E45" i="11"/>
  <c r="L39" i="11"/>
  <c r="B204" i="3"/>
  <c r="B203" i="3"/>
  <c r="B202" i="3"/>
  <c r="B201" i="3"/>
  <c r="B200" i="3"/>
  <c r="B199" i="3"/>
  <c r="B198" i="3"/>
  <c r="B197" i="3"/>
  <c r="B196" i="3"/>
  <c r="B195" i="3"/>
  <c r="B194" i="3"/>
  <c r="B193" i="3"/>
  <c r="B192" i="3"/>
  <c r="B191" i="3"/>
  <c r="B190" i="3"/>
  <c r="B189" i="3"/>
  <c r="B168" i="3"/>
  <c r="C167" i="1"/>
  <c r="C166" i="1"/>
  <c r="F166" i="1"/>
  <c r="C165" i="1"/>
  <c r="F165" i="1"/>
  <c r="C164" i="1"/>
  <c r="F164" i="1"/>
  <c r="C163" i="1"/>
  <c r="F163" i="1"/>
  <c r="C162" i="1"/>
  <c r="F162" i="1"/>
  <c r="C161" i="1"/>
  <c r="F161" i="1"/>
  <c r="C160" i="1"/>
  <c r="F160" i="1"/>
  <c r="C159" i="1"/>
  <c r="F159" i="1"/>
  <c r="C158" i="1"/>
  <c r="F158" i="1"/>
  <c r="C157" i="1"/>
  <c r="F157" i="1"/>
  <c r="C156" i="1"/>
  <c r="F156" i="1"/>
  <c r="C155" i="1"/>
  <c r="F155" i="1"/>
  <c r="C154" i="1"/>
  <c r="F154" i="1"/>
  <c r="C153" i="1"/>
  <c r="F153" i="1"/>
  <c r="C152" i="1"/>
  <c r="F152" i="1"/>
  <c r="C151" i="1"/>
  <c r="F151" i="1"/>
  <c r="C150" i="1"/>
  <c r="F150" i="1"/>
  <c r="C149" i="1"/>
  <c r="F149" i="1"/>
  <c r="C148" i="1"/>
  <c r="F148" i="1"/>
  <c r="C147" i="1"/>
  <c r="F147" i="1"/>
  <c r="C146" i="1"/>
  <c r="F146" i="1"/>
  <c r="C145" i="1"/>
  <c r="F145" i="1"/>
  <c r="C144" i="1"/>
  <c r="F144" i="1"/>
  <c r="C143" i="1"/>
  <c r="F143" i="1"/>
  <c r="C142" i="1"/>
  <c r="F142" i="1"/>
  <c r="C141" i="1"/>
  <c r="F141" i="1"/>
  <c r="C140" i="1"/>
  <c r="F140" i="1"/>
  <c r="C139" i="1"/>
  <c r="F139" i="1"/>
  <c r="F138" i="1"/>
  <c r="F137" i="1"/>
  <c r="F136" i="1"/>
  <c r="F135" i="1"/>
  <c r="F134" i="1"/>
  <c r="F133" i="1"/>
  <c r="F132" i="1"/>
  <c r="F131" i="1"/>
  <c r="F130" i="1"/>
  <c r="F129" i="1"/>
  <c r="F128" i="1"/>
  <c r="F127" i="1"/>
  <c r="C126" i="1"/>
  <c r="F126" i="1"/>
  <c r="F125" i="1"/>
  <c r="F124" i="1"/>
  <c r="F123" i="1"/>
  <c r="F122" i="1"/>
  <c r="F121" i="1"/>
  <c r="C120" i="1"/>
  <c r="F120" i="1"/>
  <c r="C119" i="1"/>
  <c r="F119" i="1"/>
  <c r="C118" i="1"/>
  <c r="F118" i="1"/>
  <c r="C117"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alcChain>
</file>

<file path=xl/sharedStrings.xml><?xml version="1.0" encoding="utf-8"?>
<sst xmlns="http://schemas.openxmlformats.org/spreadsheetml/2006/main" count="712" uniqueCount="470">
  <si>
    <t>The Hungarian Hyperinflation – A Look into the Production Side</t>
  </si>
  <si>
    <t>By Vinitha Kumar</t>
  </si>
  <si>
    <t>Table of Contents for Data Spreadsheet</t>
  </si>
  <si>
    <t>*Not all data in spreadsheet was used for paper. Sources for data are listed with data on designated tab.</t>
  </si>
  <si>
    <t>Tab 1</t>
  </si>
  <si>
    <t>Siklos - Cost of living</t>
  </si>
  <si>
    <t>Tab 2</t>
  </si>
  <si>
    <t>Siklos - Tax Pengo Index</t>
  </si>
  <si>
    <t>Tab 3</t>
  </si>
  <si>
    <t>Siklos - Coal Production</t>
  </si>
  <si>
    <t>Tab 4</t>
  </si>
  <si>
    <t>Gold Reserves and Reparations</t>
  </si>
  <si>
    <t>Tab 5</t>
  </si>
  <si>
    <t>Newspaper Prices</t>
  </si>
  <si>
    <t>Tab 6</t>
  </si>
  <si>
    <t>Agriculture Prices, Land, Acreage</t>
  </si>
  <si>
    <t>Tab 7</t>
  </si>
  <si>
    <t>Traffic on Railways, Economic Situation, Cost of Living, Agriculture and Livestock, Index of Industrial and Agricultural Prices, Mining Data</t>
  </si>
  <si>
    <t>Tab 8</t>
  </si>
  <si>
    <t>Wages, Oil and Crude Oil Prices, Cost of Living, Tax-Pengo Quotations</t>
  </si>
  <si>
    <t>Tab 9</t>
  </si>
  <si>
    <t>Losses from War, Yields of Crops, Livestock Data, League of Nations Requirements, National Income, GDP per Capita</t>
  </si>
  <si>
    <t>Tab 10</t>
  </si>
  <si>
    <t>Cost of Living, Railway Data</t>
  </si>
  <si>
    <t>Tab 11</t>
  </si>
  <si>
    <t>Note Circulation</t>
  </si>
  <si>
    <t>Tab 12</t>
  </si>
  <si>
    <t>Siklos - Coal and Steel Production</t>
  </si>
  <si>
    <t>Tab 13</t>
  </si>
  <si>
    <t>Nationalization</t>
  </si>
  <si>
    <t>Tab 14</t>
  </si>
  <si>
    <t>Compared to pther Countries</t>
  </si>
  <si>
    <t>Tab 15</t>
  </si>
  <si>
    <t>Recovery</t>
  </si>
  <si>
    <t>Tab 16</t>
  </si>
  <si>
    <t xml:space="preserve">Railroad capital </t>
  </si>
  <si>
    <t>See the accompanying paper at</t>
  </si>
  <si>
    <t>http://krieger.jhu.edu/iae/economics/</t>
  </si>
  <si>
    <t>Daily Data pulled from Siklos (War Finance, Reconstruction, Hyperinflation, and Stabilization in Hungary 1938-1948)</t>
  </si>
  <si>
    <t>From table D.1 - Cost of Living Index: Daily 1946</t>
  </si>
  <si>
    <t>This data he collected from MNBHK, amd A Hazai Gazdasag</t>
  </si>
  <si>
    <t>Date</t>
  </si>
  <si>
    <t>Index (1939 Aug. 26 = 1)</t>
  </si>
  <si>
    <t>Jan</t>
  </si>
  <si>
    <t>July</t>
  </si>
  <si>
    <t>(10^3 TP)</t>
  </si>
  <si>
    <t>(10^6 TP)</t>
  </si>
  <si>
    <t>Feb</t>
  </si>
  <si>
    <t>Mar</t>
  </si>
  <si>
    <t>Apr</t>
  </si>
  <si>
    <t>May</t>
  </si>
  <si>
    <t xml:space="preserve">June </t>
  </si>
  <si>
    <t>Daily Data pulled from Siklos (War Finance)</t>
  </si>
  <si>
    <t>From table D.1 - Tax Pengo Index: Daily 1946</t>
  </si>
  <si>
    <t>Index (Jan 1 1946 = 1)</t>
  </si>
  <si>
    <t>Producion of Key Raw Materials: Monthly, 1945-1947</t>
  </si>
  <si>
    <t>From Table M6</t>
  </si>
  <si>
    <t>Sources: MNBHK, XX (Oct. - Dec. 1946), p. 263. GT, 1947, p/ 683-84. The Coal Industry was nationalized in December 1945.</t>
  </si>
  <si>
    <t>Coal</t>
  </si>
  <si>
    <t>From: 30 eves a forint</t>
  </si>
  <si>
    <t>Gold Reserves After WWII</t>
  </si>
  <si>
    <t>20 million gold pengo in Switzerland</t>
  </si>
  <si>
    <t>32.2 Million stolen from Hungary by Germany, Captured by Allies</t>
  </si>
  <si>
    <t>https://www.uek.ch/en/publikationen1997-2000/dec97-e.pdf</t>
  </si>
  <si>
    <t>The Hungarian government recovered from the United States
the $32 million in gold reserves of the central bank removed to Germany
by the Nazi government. The gold was returned to Budapest on
August 6, amid great press publicity.23 Another $12 million in gold and foreign exchange (largely in U.S. dollars) was produced from domestic sources during the grace period before laws went into force forbidding such holdings subject to draconian penalties. This combined sum of $44 million, equal in value to F517 million, provided a gold cover in excess of 100 percent for</t>
  </si>
  <si>
    <t>From New Hungary Magazine - "According to documentary proof on September 30, 1944, a fortnight before Szalasi's coup d'etat the Third Reich was indebted to Hungary to the amount of 3,613,130,000 gold marks</t>
  </si>
  <si>
    <t>^ April 15,1946, volume 1 no. 1</t>
  </si>
  <si>
    <t>Total</t>
  </si>
  <si>
    <t xml:space="preserve">To Soviet Union </t>
  </si>
  <si>
    <t xml:space="preserve">To Czechoslovakia </t>
  </si>
  <si>
    <t>To Yoguslovakia</t>
  </si>
  <si>
    <t>Sources</t>
  </si>
  <si>
    <t xml:space="preserve">http://countrystudies.us/hungary/36.htm </t>
  </si>
  <si>
    <t>Nepszava</t>
  </si>
  <si>
    <t>Magyar Nemzet</t>
  </si>
  <si>
    <t>Gyori Nemzeti Hirlap</t>
  </si>
  <si>
    <t>Source for Gyori: http://katalogus.kkmk.hu/jadox/portal/displayImage.psml?offset=null&amp;docID=11781&amp;limit=null&amp;schemaId=null&amp;limit=null&amp;site=null</t>
  </si>
  <si>
    <t>Nov 14. 1942</t>
  </si>
  <si>
    <t>Ara, 12 fillier</t>
  </si>
  <si>
    <t>1 pengo</t>
  </si>
  <si>
    <t>Fillier</t>
  </si>
  <si>
    <t>**Looking at the Magyar Nemzet or Nepszava might be more useful</t>
  </si>
  <si>
    <t>^This newspaper had the same prices for most, the price discrepancy seemed to be from issuance on weekends. Data only up to march for 1945 and prices were same in 1944</t>
  </si>
  <si>
    <t>WWII</t>
  </si>
  <si>
    <t>In the ’40s the level of production and food consumption also dropped dramatically, and the share of agriculture in the national income fell below 50 percent</t>
  </si>
  <si>
    <t>Redistributed land</t>
  </si>
  <si>
    <t xml:space="preserve"> http://www.ksh.hu/statszemle_archive/2000/2000_K5/2000_K5_003.pdf</t>
  </si>
  <si>
    <t>From Monthly Bulletin Nos 1-6, Jan-Jun 1946</t>
  </si>
  <si>
    <t>Wheat</t>
  </si>
  <si>
    <t>Barley</t>
  </si>
  <si>
    <t>Maize</t>
  </si>
  <si>
    <t>milpengos per quintal</t>
  </si>
  <si>
    <t>*Need source for this</t>
  </si>
  <si>
    <t>Acreage of principal crops</t>
  </si>
  <si>
    <t>Acreage</t>
  </si>
  <si>
    <t>Crop</t>
  </si>
  <si>
    <t>Rye</t>
  </si>
  <si>
    <t>Oats</t>
  </si>
  <si>
    <t>Corn</t>
  </si>
  <si>
    <t>Potatoes</t>
  </si>
  <si>
    <t>Sugar beets</t>
  </si>
  <si>
    <t>Beets for fodder</t>
  </si>
  <si>
    <t>Sunflower</t>
  </si>
  <si>
    <t>Sunflower (secndry)</t>
  </si>
  <si>
    <t>Tobacco</t>
  </si>
  <si>
    <t>From: Breweries and malt…page 21 under section 9-Transport and Communications</t>
  </si>
  <si>
    <t xml:space="preserve">Monthly average </t>
  </si>
  <si>
    <t>Goods in traffic (ton-kilometers)</t>
  </si>
  <si>
    <t>Passenger traffic in passenger-kilometeres</t>
  </si>
  <si>
    <t>Aftermath of war</t>
  </si>
  <si>
    <t>From: Survey of the Economic Situation of Hungary - Budapest 1947</t>
  </si>
  <si>
    <t>Year of 1938</t>
  </si>
  <si>
    <t>218 millions</t>
  </si>
  <si>
    <t>203 millions</t>
  </si>
  <si>
    <t>1938=100</t>
  </si>
  <si>
    <t>1945-1946</t>
  </si>
  <si>
    <t>1946-1947</t>
  </si>
  <si>
    <t>Agriculture</t>
  </si>
  <si>
    <t>Mining</t>
  </si>
  <si>
    <t>Industry</t>
  </si>
  <si>
    <t>Small Crafts</t>
  </si>
  <si>
    <t>Trade</t>
  </si>
  <si>
    <t>Real Property</t>
  </si>
  <si>
    <t>Other</t>
  </si>
  <si>
    <t>Cost of Living Index</t>
  </si>
  <si>
    <t xml:space="preserve">July 15, 1945 = 1, By Cornelia B. Rose, Jr. </t>
  </si>
  <si>
    <t>Food</t>
  </si>
  <si>
    <t>Clothing</t>
  </si>
  <si>
    <t>Heating and Light</t>
  </si>
  <si>
    <t>Rent</t>
  </si>
  <si>
    <t>Combined Index</t>
  </si>
  <si>
    <t>Livestock data</t>
  </si>
  <si>
    <t>From Hungarian text - Magyar Gazdasagkutato Intezet, page 4</t>
  </si>
  <si>
    <t>units of 1000</t>
  </si>
  <si>
    <t>1938 feb 28</t>
  </si>
  <si>
    <t>1945 may 31</t>
  </si>
  <si>
    <t>Reduction (in %)</t>
  </si>
  <si>
    <t>Cattle</t>
  </si>
  <si>
    <t>Horses</t>
  </si>
  <si>
    <t>Pigs</t>
  </si>
  <si>
    <t>Sheep</t>
  </si>
  <si>
    <t>Agricultural data from same Hungarian text, page 7</t>
  </si>
  <si>
    <t>Production in 1000 q (q mazsa = 100 kilograms)</t>
  </si>
  <si>
    <t>1934-1938 (average)</t>
  </si>
  <si>
    <t>From the Hungarian Central Creditbank, August 1946</t>
  </si>
  <si>
    <t>Characteristic data of the development of the inflation</t>
  </si>
  <si>
    <t>Oat</t>
  </si>
  <si>
    <t>Index of industrial prices</t>
  </si>
  <si>
    <t>Index of agrarian prices</t>
  </si>
  <si>
    <t>October 1, 1945 = 100</t>
  </si>
  <si>
    <t>Potato</t>
  </si>
  <si>
    <t>Correlation of two</t>
  </si>
  <si>
    <t>Sugar Beet</t>
  </si>
  <si>
    <t>Mining production data - from same Hungarian text, 1000 q, page 8</t>
  </si>
  <si>
    <t>1945 (2nd half)</t>
  </si>
  <si>
    <t>1946 (1st half)</t>
  </si>
  <si>
    <t>Black carbon</t>
  </si>
  <si>
    <t>Brown Coal</t>
  </si>
  <si>
    <t>Iron Ore</t>
  </si>
  <si>
    <t>Alumi-num</t>
  </si>
  <si>
    <t>Petrol-eum</t>
  </si>
  <si>
    <t>Natural Gas (1000 m^3)</t>
  </si>
  <si>
    <t>Crude Iron</t>
  </si>
  <si>
    <t>From same Hungarian text, page 18</t>
  </si>
  <si>
    <t>National Income and expected national income</t>
  </si>
  <si>
    <t>1938/1939</t>
  </si>
  <si>
    <t>1945/1946</t>
  </si>
  <si>
    <t>1946/1947</t>
  </si>
  <si>
    <t>Agrarian sector</t>
  </si>
  <si>
    <t>Manufacturing</t>
  </si>
  <si>
    <t>Handicrafts</t>
  </si>
  <si>
    <t>Living</t>
  </si>
  <si>
    <t>From: Economic Rehabilitation in Hungary - Divisions of Operational Analysis UNRRA European Regional Office, May 1947, Papers No. 47</t>
  </si>
  <si>
    <t>Real Wages in Hungary, 1945 and 1946: in Monthly Averages Compared with 1939 (1939=100)</t>
  </si>
  <si>
    <t>August</t>
  </si>
  <si>
    <t>September</t>
  </si>
  <si>
    <t>October</t>
  </si>
  <si>
    <t>November</t>
  </si>
  <si>
    <t>December</t>
  </si>
  <si>
    <t>January</t>
  </si>
  <si>
    <t>February</t>
  </si>
  <si>
    <t>March</t>
  </si>
  <si>
    <t xml:space="preserve">April </t>
  </si>
  <si>
    <t>June</t>
  </si>
  <si>
    <t>From: The Gun at the Head of the Industrialist</t>
  </si>
  <si>
    <t>Oil Price - Dollars/bbl (black market rate)</t>
  </si>
  <si>
    <t>Crude Oil Prices in Pengo per ton (7.7 bbl):</t>
  </si>
  <si>
    <t>From Inflation: The Gun at the Head of the Industrialist</t>
  </si>
  <si>
    <t>1st</t>
  </si>
  <si>
    <t>10th</t>
  </si>
  <si>
    <t>20th</t>
  </si>
  <si>
    <t>Apr. 17-May 22, 1945</t>
  </si>
  <si>
    <t>May 23-June 13</t>
  </si>
  <si>
    <t>June 14-Oct. 27</t>
  </si>
  <si>
    <t>Oct. 28-Nov. 19</t>
  </si>
  <si>
    <t>Nov. 20-Dec. 12</t>
  </si>
  <si>
    <t>Dec. 14-Dec. 31</t>
  </si>
  <si>
    <t>Jan. 1-21, 1946</t>
  </si>
  <si>
    <t>Jan. 22-Feb. 10</t>
  </si>
  <si>
    <t>Feb. 11-24</t>
  </si>
  <si>
    <t>Feb. 25-Mar. 12</t>
  </si>
  <si>
    <t>April</t>
  </si>
  <si>
    <t>Mar. 13-27</t>
  </si>
  <si>
    <t>Mar. 28-Apr. 9</t>
  </si>
  <si>
    <t>Apr. 10-17</t>
  </si>
  <si>
    <t>Apr. 18-May 5</t>
  </si>
  <si>
    <t>May 6-10</t>
  </si>
  <si>
    <t>May 11-17</t>
  </si>
  <si>
    <t>May 18-22</t>
  </si>
  <si>
    <t>May 23-30</t>
  </si>
  <si>
    <t>From Same source as above, Industrial Loan Index</t>
  </si>
  <si>
    <t>June 1-2</t>
  </si>
  <si>
    <t>Index created from cost of living, wheat, and coal</t>
  </si>
  <si>
    <t>From here, prices changed daily</t>
  </si>
  <si>
    <t>Cost of Living (no rent)</t>
  </si>
  <si>
    <t>Final price before conversion</t>
  </si>
  <si>
    <t>From same source above, page 5</t>
  </si>
  <si>
    <t>tax-pengo market quotations</t>
  </si>
  <si>
    <t>Flour/kg</t>
  </si>
  <si>
    <t>eggs/each</t>
  </si>
  <si>
    <t>potatoes/kg</t>
  </si>
  <si>
    <t>fat/kg</t>
  </si>
  <si>
    <t>From: Hungary in Statistical Tables, Magyar Nemzeti Bank, Budapest, 1947, number 9781</t>
  </si>
  <si>
    <t>(From page 2) Grand total of those killed in war = 400,000</t>
  </si>
  <si>
    <t>Wiki demographics (got their info from Hungarian Central Statistical Office) says 9217000 people in 1939</t>
  </si>
  <si>
    <t>As a percent of 1939 total, those lost in war:</t>
  </si>
  <si>
    <t>Yields of the Most Important Agricultural Produce, from page 5</t>
  </si>
  <si>
    <t>Sugarbeet</t>
  </si>
  <si>
    <t>Numbers Indexed</t>
  </si>
  <si>
    <t>1937/1938 = 100</t>
  </si>
  <si>
    <t>n/a</t>
  </si>
  <si>
    <t>Livestock in Hungary - same source (units of 1000s), page 6</t>
  </si>
  <si>
    <t>Cattle and Buffalo</t>
  </si>
  <si>
    <t>Food requirements in Hungary by League of Nationas Standards and the actual consumption ( in thousand metric tons)</t>
  </si>
  <si>
    <t>Data from same source, page 7</t>
  </si>
  <si>
    <t xml:space="preserve">Actual Consumption in </t>
  </si>
  <si>
    <t>Requirements</t>
  </si>
  <si>
    <t>1945/46</t>
  </si>
  <si>
    <t>Estimated consumption in 1947</t>
  </si>
  <si>
    <t>Bread-grains</t>
  </si>
  <si>
    <t>Legumes</t>
  </si>
  <si>
    <t>Fats</t>
  </si>
  <si>
    <t>Meat and poultry</t>
  </si>
  <si>
    <t>Eggs</t>
  </si>
  <si>
    <t>Milk</t>
  </si>
  <si>
    <t>Fruit</t>
  </si>
  <si>
    <t>Vegetables</t>
  </si>
  <si>
    <t>Sugar</t>
  </si>
  <si>
    <t>Numbers Indexed to requirements</t>
  </si>
  <si>
    <t>Numbers Indexed to 1938</t>
  </si>
  <si>
    <t>From same source, page 32</t>
  </si>
  <si>
    <t>Hungarian National Wealth and loss due to war</t>
  </si>
  <si>
    <t>In Millions of 1938 pengos</t>
  </si>
  <si>
    <t>National Wealth</t>
  </si>
  <si>
    <t>War Losses</t>
  </si>
  <si>
    <t>Losses as percent of national wealth</t>
  </si>
  <si>
    <t>Total National Wealth</t>
  </si>
  <si>
    <t>Livestock from agriculture</t>
  </si>
  <si>
    <t>Mining and Smelting</t>
  </si>
  <si>
    <t>Manufacturing Industry</t>
  </si>
  <si>
    <t>Communications</t>
  </si>
  <si>
    <t>Dwelling houses</t>
  </si>
  <si>
    <t>Other category = Total of handicrafts, commerce, finance and insurance, private households, cultural insitutions, and others</t>
  </si>
  <si>
    <t>*Calculated by adding up the category totals, which are below:</t>
  </si>
  <si>
    <t>Commerce</t>
  </si>
  <si>
    <t>Finance and insurance</t>
  </si>
  <si>
    <t>Private households</t>
  </si>
  <si>
    <t>Cultural institutions</t>
  </si>
  <si>
    <t>Others</t>
  </si>
  <si>
    <t>*Commerce and Private household war losses exclude damage to buildings</t>
  </si>
  <si>
    <t>Source for data within Hungary in statistical tables: National wealth - Central Statistical Office compiled by A.Farkasfalvy</t>
  </si>
  <si>
    <t>War losses - Central Statistical Office as compiled by J. Szigeti</t>
  </si>
  <si>
    <t>Hungarian National Income</t>
  </si>
  <si>
    <t>1943/1944</t>
  </si>
  <si>
    <t>Total National Income</t>
  </si>
  <si>
    <t>Rental Value of Dwellings</t>
  </si>
  <si>
    <t>Other Items</t>
  </si>
  <si>
    <t>Material Goods Procution</t>
  </si>
  <si>
    <t>Indexed to 1938/1939</t>
  </si>
  <si>
    <t xml:space="preserve">From Maddison Project, http://www.ggdc.net/maddison/maddison-project/data.htm </t>
  </si>
  <si>
    <t>GDP per capita</t>
  </si>
  <si>
    <t xml:space="preserve">(1990 Int. GK$) </t>
  </si>
  <si>
    <t>Wages and Prices</t>
  </si>
  <si>
    <t>From Hungary in Statistical Tables, compiled by the National bank of Hungary, Budapest 1947, page 21</t>
  </si>
  <si>
    <t>Index Numbers of the cost of living, 1937 = 100</t>
  </si>
  <si>
    <t>Rolling stock of Hungarian State Railways (MAV) and other railways under their management</t>
  </si>
  <si>
    <t>*This data should be double checked with the legend on the source, the specifics for dates and territory were confusing</t>
  </si>
  <si>
    <t>All items</t>
  </si>
  <si>
    <t>Food ailments</t>
  </si>
  <si>
    <t>Steam locomotives</t>
  </si>
  <si>
    <t>Electric locomotives</t>
  </si>
  <si>
    <t>Motor coaches</t>
  </si>
  <si>
    <t>Passenger coaches</t>
  </si>
  <si>
    <t>Freight cars</t>
  </si>
  <si>
    <t>From Hungary in Statistical Tables, compiled by the National bank of Hungary, Budapest 1947, page 22</t>
  </si>
  <si>
    <t>At end of December, 1945</t>
  </si>
  <si>
    <t>At end of December, 1946</t>
  </si>
  <si>
    <t>Table 1b</t>
  </si>
  <si>
    <t>On the present area in 1944</t>
  </si>
  <si>
    <t>Destroyed or damaged</t>
  </si>
  <si>
    <t>Permanently in running order</t>
  </si>
  <si>
    <t>Temporarily put in service</t>
  </si>
  <si>
    <t>Length of railways in kilometers</t>
  </si>
  <si>
    <t>Switiching apparatus</t>
  </si>
  <si>
    <t>Length of tunnels in metres</t>
  </si>
  <si>
    <t>Railroad bridges</t>
  </si>
  <si>
    <t>Culverts</t>
  </si>
  <si>
    <t>Number of workshop buildings</t>
  </si>
  <si>
    <t>Transport and workshop buildings in cubic metres</t>
  </si>
  <si>
    <t>1007628*, 617412**, 1625404***</t>
  </si>
  <si>
    <t>*Data for both suplised by Directorate of the Hungarian State Railways</t>
  </si>
  <si>
    <t>This numbers are estimates because the original data was destroyed the below data</t>
  </si>
  <si>
    <t>Machine in tools in workshops</t>
  </si>
  <si>
    <t>Mechanical tools in workshops</t>
  </si>
  <si>
    <t>*Forint</t>
  </si>
  <si>
    <t>Another cost of living index, From monthly bulletin of the national bank of Hungary, no 7-12, p. 15-47, July - Dec 1945</t>
  </si>
  <si>
    <t>Same source, but indexed to August 26, 1939</t>
  </si>
  <si>
    <t>July 15, 1945 = 100</t>
  </si>
  <si>
    <t>August 26, 1939 = 1</t>
  </si>
  <si>
    <t>Fuel and Light</t>
  </si>
  <si>
    <t>Other Requirements</t>
  </si>
  <si>
    <t>Total Without Rent</t>
  </si>
  <si>
    <t>Annual Rate</t>
  </si>
  <si>
    <t>Monthly Rate</t>
  </si>
  <si>
    <t>Food to clothing</t>
  </si>
  <si>
    <t>Food to total</t>
  </si>
  <si>
    <t>Total to clothing</t>
  </si>
  <si>
    <t>Total to fuel and light</t>
  </si>
  <si>
    <t>Total to other</t>
  </si>
  <si>
    <t>July 15, 1945 = 1, numbers below transformed by multiplying each by 100</t>
  </si>
  <si>
    <t>July 15th, 1945 = 1/1000, numbers below transformed by multiplying each by 100000</t>
  </si>
  <si>
    <t>July 15th, 1945 = 1/1000000, numbers below transformed by multiplying each by 100000000</t>
  </si>
  <si>
    <t>July 15th, 1945 = 1000000000, numbers below transformed by multiplying each by 100000000000</t>
  </si>
  <si>
    <t>July 15th, 1945 = 1000000000000, numbers below transformed by multiplying each by 100000000000000</t>
  </si>
  <si>
    <t>*From Inflation and stabilization of Hungarian Currency, page 183</t>
  </si>
  <si>
    <t>The South African Journal of Economics, Vol 15, sep. 1947, no. 3</t>
  </si>
  <si>
    <t>Cost of living</t>
  </si>
  <si>
    <t>this from same source, page 184</t>
  </si>
  <si>
    <t>Monthly increase of note circulation (left)</t>
  </si>
  <si>
    <t>Additional real purchasing power of 1 mn pengo (right)</t>
  </si>
  <si>
    <t>Same source, page 191</t>
  </si>
  <si>
    <t>Total note circulation, pengo</t>
  </si>
  <si>
    <t>Real value, 1938 = 100</t>
  </si>
  <si>
    <t>From: Hungarian General Creditbank, August 1946 Appendix one (after page 15), (GK 324.4, M27s)</t>
  </si>
  <si>
    <t>Circulation in pengoes</t>
  </si>
  <si>
    <t>Real Value 1938 = 100</t>
  </si>
  <si>
    <t>Siklos - The End of the Hungarian Hyperinflation of 1945-1946</t>
  </si>
  <si>
    <t>Table 4 of his, modified</t>
  </si>
  <si>
    <t>SOURCES: Gazdasigstatiszttikaajei kozta,947p, p.I ol, 683,6 94; and Magyar Gazdasigkutato, 945X7, nos. 4, p. 144.</t>
  </si>
  <si>
    <t>(1937-1938 = 100) Average Daily Production of:</t>
  </si>
  <si>
    <t>Steel</t>
  </si>
  <si>
    <t>The Hungarian Economy, 1920-1954, L.L. Ecker-Racz, October 1954, Council for Economic and Industrial Research, Inc., page 13</t>
  </si>
  <si>
    <t>Progress of Collectivization 1945-1953</t>
  </si>
  <si>
    <t>Percent of Total</t>
  </si>
  <si>
    <t>Workers in Socialized Industry</t>
  </si>
  <si>
    <t>Contriubtion of socialized sector to national income</t>
  </si>
  <si>
    <t>Retail trade through socialized outlets</t>
  </si>
  <si>
    <t>Arable land in soialized sector</t>
  </si>
  <si>
    <t>Number of families on Kolkhoz land (1000s)</t>
  </si>
  <si>
    <t>*he received from Committee for a Free Europe, Report on Hungary</t>
  </si>
  <si>
    <t>From: Economic Growth in Europe Since 1945</t>
  </si>
  <si>
    <t>Year when GDP recovered to highest pre-war level</t>
  </si>
  <si>
    <t>Annual growth rate of GDP during reconstruction</t>
  </si>
  <si>
    <t>Austria</t>
  </si>
  <si>
    <t xml:space="preserve">Belgium </t>
  </si>
  <si>
    <t>Denmark</t>
  </si>
  <si>
    <t>Hungary</t>
  </si>
  <si>
    <t>Germany</t>
  </si>
  <si>
    <t>Poland</t>
  </si>
  <si>
    <t>Romania</t>
  </si>
  <si>
    <t>Yugoslavia</t>
  </si>
  <si>
    <t>Czecho-slovakia</t>
  </si>
  <si>
    <t>Bulgaria</t>
  </si>
  <si>
    <t>Italy</t>
  </si>
  <si>
    <t>France</t>
  </si>
  <si>
    <t>USA</t>
  </si>
  <si>
    <t>Greece</t>
  </si>
  <si>
    <t>Finland</t>
  </si>
  <si>
    <t/>
  </si>
  <si>
    <t xml:space="preserve">France </t>
  </si>
  <si>
    <t xml:space="preserve">Netherlands </t>
  </si>
  <si>
    <t>Norway</t>
  </si>
  <si>
    <t>From same source</t>
  </si>
  <si>
    <t>GDP/Person 1950</t>
  </si>
  <si>
    <t>czechoslovakia</t>
  </si>
  <si>
    <t>Calculations based on Maddison Data</t>
  </si>
  <si>
    <t>Further Calculations based on percent changed</t>
  </si>
  <si>
    <t>Change in GDP/capita from 1938-1948</t>
  </si>
  <si>
    <t>Change in GDP/capita from 1938-1948 (Annualized)</t>
  </si>
  <si>
    <t>Change in GDP/capita from 1938-1945</t>
  </si>
  <si>
    <t>Change in GDP/capita from 1938-1945 (Annualized)</t>
  </si>
  <si>
    <t>Change in GDP/capita from 1938-1946</t>
  </si>
  <si>
    <t>Change in GDP/capita from 1938-1946 (Annualized)</t>
  </si>
  <si>
    <t>Change in GDP/capita from 1938-1944</t>
  </si>
  <si>
    <t>Change in GDP/capita from 1938-1944 (Annualized)</t>
  </si>
  <si>
    <t>Table 3:</t>
  </si>
  <si>
    <t>From: Monthly Bulletin Nos 7-8, July-Aug 1947 page 180</t>
  </si>
  <si>
    <t>Same source page 182</t>
  </si>
  <si>
    <t>Machine Power (thousand HPs)</t>
  </si>
  <si>
    <t>Production per year</t>
  </si>
  <si>
    <t>Monthly Production</t>
  </si>
  <si>
    <t>Unit</t>
  </si>
  <si>
    <t>1946/47</t>
  </si>
  <si>
    <t>% change in monthly production</t>
  </si>
  <si>
    <t>Percent of Prewar level</t>
  </si>
  <si>
    <t>Manufacturing industry</t>
  </si>
  <si>
    <t>1000 tons</t>
  </si>
  <si>
    <t>Iron, metal, and machine</t>
  </si>
  <si>
    <t>Mineral Oil</t>
  </si>
  <si>
    <t>Stone, clay and glass</t>
  </si>
  <si>
    <t>Bauxite</t>
  </si>
  <si>
    <t>Wood and bone</t>
  </si>
  <si>
    <t>Leather and furs</t>
  </si>
  <si>
    <t>Manganese Ore</t>
  </si>
  <si>
    <t>Textiles</t>
  </si>
  <si>
    <t>Pig Iron</t>
  </si>
  <si>
    <t>Ferro-Manganese</t>
  </si>
  <si>
    <t>Chemicals and rubber</t>
  </si>
  <si>
    <t>Paper and printing</t>
  </si>
  <si>
    <t>Rolled Steel Products</t>
  </si>
  <si>
    <t>Power plants</t>
  </si>
  <si>
    <t>Aluminum</t>
  </si>
  <si>
    <t>Tiles</t>
  </si>
  <si>
    <t>1000 pieces</t>
  </si>
  <si>
    <t>Same source, page 183</t>
  </si>
  <si>
    <t>Bricks</t>
  </si>
  <si>
    <t>Table 2:</t>
  </si>
  <si>
    <t>Cement</t>
  </si>
  <si>
    <t>wagons</t>
  </si>
  <si>
    <t>Percent change (47/46 to 45/46)</t>
  </si>
  <si>
    <t>Percent change (47/46 to 38/39)</t>
  </si>
  <si>
    <t>Lime</t>
  </si>
  <si>
    <t>Total of the year</t>
  </si>
  <si>
    <t>Glass</t>
  </si>
  <si>
    <t>1000 metres</t>
  </si>
  <si>
    <t>Cotton fabrics</t>
  </si>
  <si>
    <t>Cotton yarn</t>
  </si>
  <si>
    <t>1000 kg</t>
  </si>
  <si>
    <t>Woollen fabrics</t>
  </si>
  <si>
    <t>Woollen yarn</t>
  </si>
  <si>
    <t>Silk and rayon fabrics</t>
  </si>
  <si>
    <t>Flax and hemp fabrics</t>
  </si>
  <si>
    <t>Sole leather</t>
  </si>
  <si>
    <t>Fatty uppers</t>
  </si>
  <si>
    <t>Uppers tanned w/ chrome</t>
  </si>
  <si>
    <t>Sq. feet</t>
  </si>
  <si>
    <t>Footwear, all sorts</t>
  </si>
  <si>
    <t>1000 pair</t>
  </si>
  <si>
    <t>Hungarian Economic Developments (January 1945-June 1946). July 1, 1946. L.L. Ecker-Racz. Budapest. P. 34</t>
  </si>
  <si>
    <t>Table 1a: Losses and Present Status of Rolling Stock of the Hungarian Railroads</t>
  </si>
  <si>
    <t>Inventory - December 1945**</t>
  </si>
  <si>
    <t>Inventory (1938)*</t>
  </si>
  <si>
    <t>Completely Wrecked</t>
  </si>
  <si>
    <t>Damaged but Reparable</t>
  </si>
  <si>
    <t>Fit for Operation</t>
  </si>
  <si>
    <t>Locomotives:</t>
  </si>
  <si>
    <t>Steam</t>
  </si>
  <si>
    <t>Electric</t>
  </si>
  <si>
    <t>Motor Rail Cars</t>
  </si>
  <si>
    <t>Motor Rail Autobuses</t>
  </si>
  <si>
    <t>Passenger cars and motor rail car trailers</t>
  </si>
  <si>
    <t>Combination baggage cars</t>
  </si>
  <si>
    <t>Mail cars</t>
  </si>
  <si>
    <t>Frieght Cars:</t>
  </si>
  <si>
    <t>Box                   )</t>
  </si>
  <si>
    <t>Refrigerator )</t>
  </si>
  <si>
    <t>Open    )</t>
  </si>
  <si>
    <t>Timber )</t>
  </si>
  <si>
    <t>Tank</t>
  </si>
  <si>
    <t>*Changes between 1938 and 1944 disregarded because present area of Hungary is that of 1938                                                 ** Information incomplete.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</si>
</sst>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HUF]\ * #,##0.00_);_([$HUF]\ * \(#,##0.00\);_([$HUF]\ * &quot;-&quot;??_);_(@_)"/>
    <numFmt numFmtId="165" formatCode="0.000"/>
    <numFmt numFmtId="166" formatCode="_([$HUF]\ * #,##0_);_([$HUF]\ * \(#,##0\);_([$HUF]\ * &quot;-&quot;??_);_(@_)"/>
  </numFmts>
  <fonts count="12"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sz val="11"/>
      <color theme="1"/>
      <name val="Times New Roman"/>
      <family val="1"/>
    </font>
    <font>
      <b/>
      <sz val="10"/>
      <name val="Arial"/>
      <family val="2"/>
    </font>
    <font>
      <sz val="10"/>
      <name val="Arial"/>
      <family val="2"/>
    </font>
    <font>
      <b/>
      <sz val="11"/>
      <name val="Arial"/>
      <family val="2"/>
    </font>
    <font>
      <sz val="11"/>
      <name val="Calibri"/>
      <family val="2"/>
      <scheme val="minor"/>
    </font>
    <font>
      <b/>
      <sz val="12"/>
      <color theme="1"/>
      <name val="Calibri"/>
      <family val="2"/>
      <scheme val="minor"/>
    </font>
    <font>
      <sz val="8"/>
      <color theme="1"/>
      <name val="Calibri"/>
      <family val="2"/>
      <scheme val="minor"/>
    </font>
    <font>
      <b/>
      <sz val="16"/>
      <color theme="1"/>
      <name val="Calibri"/>
      <family val="2"/>
      <scheme val="minor"/>
    </font>
  </fonts>
  <fills count="10">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9" tint="0.59999389629810485"/>
        <bgColor indexed="64"/>
      </patternFill>
    </fill>
    <fill>
      <patternFill patternType="solid">
        <fgColor theme="1" tint="4.9989318521683403E-2"/>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89">
    <xf numFmtId="0" fontId="0" fillId="0" borderId="0" xfId="0"/>
    <xf numFmtId="14" fontId="0" fillId="0" borderId="0" xfId="0" applyNumberFormat="1"/>
    <xf numFmtId="1" fontId="0" fillId="0" borderId="0" xfId="0" applyNumberFormat="1"/>
    <xf numFmtId="0" fontId="0" fillId="0" borderId="0" xfId="0" applyNumberFormat="1"/>
    <xf numFmtId="44" fontId="0" fillId="0" borderId="0" xfId="1" applyFont="1"/>
    <xf numFmtId="0" fontId="0" fillId="0" borderId="0" xfId="0" applyAlignment="1">
      <alignment wrapText="1"/>
    </xf>
    <xf numFmtId="0" fontId="2" fillId="0" borderId="0" xfId="2" applyAlignment="1">
      <alignment wrapText="1"/>
    </xf>
    <xf numFmtId="17" fontId="0" fillId="0" borderId="0" xfId="0" applyNumberFormat="1"/>
    <xf numFmtId="15" fontId="0" fillId="0" borderId="0" xfId="0" applyNumberFormat="1"/>
    <xf numFmtId="16" fontId="0" fillId="0" borderId="0" xfId="0" applyNumberFormat="1"/>
    <xf numFmtId="0" fontId="0" fillId="2" borderId="0" xfId="0" applyFill="1"/>
    <xf numFmtId="0" fontId="0" fillId="3" borderId="0" xfId="0" applyFill="1" applyAlignment="1"/>
    <xf numFmtId="0" fontId="0" fillId="3" borderId="0" xfId="0" applyFill="1"/>
    <xf numFmtId="0" fontId="0" fillId="4" borderId="0" xfId="0" applyFill="1"/>
    <xf numFmtId="16" fontId="0" fillId="2" borderId="0" xfId="0" applyNumberFormat="1" applyFill="1"/>
    <xf numFmtId="0" fontId="0" fillId="5" borderId="0" xfId="0" applyFill="1"/>
    <xf numFmtId="0" fontId="0" fillId="5" borderId="0" xfId="0" applyFill="1" applyAlignment="1">
      <alignment wrapText="1"/>
    </xf>
    <xf numFmtId="16" fontId="0" fillId="5" borderId="0" xfId="0" applyNumberFormat="1" applyFill="1"/>
    <xf numFmtId="2" fontId="0" fillId="0" borderId="0" xfId="0" applyNumberFormat="1"/>
    <xf numFmtId="4" fontId="0" fillId="5" borderId="0" xfId="0" applyNumberFormat="1" applyFill="1" applyAlignment="1">
      <alignment horizontal="right"/>
    </xf>
    <xf numFmtId="4" fontId="0" fillId="5" borderId="0" xfId="0" applyNumberFormat="1" applyFill="1"/>
    <xf numFmtId="10" fontId="0" fillId="0" borderId="0" xfId="3" applyNumberFormat="1" applyFont="1"/>
    <xf numFmtId="10" fontId="0" fillId="0" borderId="0" xfId="0" applyNumberFormat="1"/>
    <xf numFmtId="164" fontId="0" fillId="0" borderId="0" xfId="1" applyNumberFormat="1" applyFont="1"/>
    <xf numFmtId="164" fontId="0" fillId="0" borderId="0" xfId="0" applyNumberFormat="1"/>
    <xf numFmtId="0" fontId="0" fillId="6" borderId="0" xfId="0" applyFill="1"/>
    <xf numFmtId="0" fontId="0" fillId="7" borderId="0" xfId="0" applyFill="1"/>
    <xf numFmtId="0" fontId="0" fillId="0" borderId="0" xfId="0" applyFill="1"/>
    <xf numFmtId="0" fontId="0" fillId="0" borderId="0" xfId="0" applyAlignment="1"/>
    <xf numFmtId="10" fontId="0" fillId="0" borderId="0" xfId="3" applyNumberFormat="1" applyFont="1" applyAlignment="1">
      <alignment wrapText="1"/>
    </xf>
    <xf numFmtId="10" fontId="0" fillId="0" borderId="0" xfId="3" applyNumberFormat="1" applyFont="1" applyAlignment="1">
      <alignment vertical="center"/>
    </xf>
    <xf numFmtId="0" fontId="0" fillId="0" borderId="0" xfId="0" applyAlignment="1">
      <alignment vertical="center" wrapText="1"/>
    </xf>
    <xf numFmtId="0" fontId="0" fillId="0" borderId="0" xfId="0" applyFont="1"/>
    <xf numFmtId="165" fontId="0" fillId="0" borderId="0" xfId="0" applyNumberFormat="1"/>
    <xf numFmtId="0" fontId="0" fillId="2" borderId="0" xfId="1" applyNumberFormat="1" applyFont="1" applyFill="1"/>
    <xf numFmtId="0" fontId="0" fillId="2" borderId="0" xfId="0" applyNumberFormat="1" applyFill="1"/>
    <xf numFmtId="10" fontId="0" fillId="0" borderId="0" xfId="3" applyNumberFormat="1" applyFont="1" applyFill="1"/>
    <xf numFmtId="0" fontId="4" fillId="0" borderId="0" xfId="0" applyFont="1"/>
    <xf numFmtId="0" fontId="3" fillId="0" borderId="0" xfId="0" applyFont="1" applyAlignment="1">
      <alignment wrapText="1"/>
    </xf>
    <xf numFmtId="0" fontId="3" fillId="0" borderId="0" xfId="0" applyFont="1"/>
    <xf numFmtId="166" fontId="0" fillId="0" borderId="0" xfId="1" applyNumberFormat="1" applyFont="1"/>
    <xf numFmtId="166" fontId="0" fillId="0" borderId="0" xfId="1" applyNumberFormat="1" applyFont="1" applyAlignment="1">
      <alignment vertical="center"/>
    </xf>
    <xf numFmtId="166" fontId="0" fillId="0" borderId="0" xfId="0" applyNumberFormat="1" applyAlignment="1">
      <alignment vertical="center"/>
    </xf>
    <xf numFmtId="0" fontId="5" fillId="0" borderId="0" xfId="0" applyNumberFormat="1" applyFont="1" applyFill="1"/>
    <xf numFmtId="3" fontId="6" fillId="0" borderId="0" xfId="0" applyNumberFormat="1" applyFont="1" applyFill="1"/>
    <xf numFmtId="0" fontId="7" fillId="0" borderId="0" xfId="0" applyNumberFormat="1" applyFont="1" applyFill="1" applyAlignment="1"/>
    <xf numFmtId="15" fontId="0" fillId="0" borderId="0" xfId="0" applyNumberFormat="1" applyAlignment="1">
      <alignment wrapText="1"/>
    </xf>
    <xf numFmtId="0" fontId="0" fillId="4" borderId="0" xfId="0" applyFill="1" applyAlignment="1">
      <alignment wrapText="1"/>
    </xf>
    <xf numFmtId="0" fontId="9" fillId="0" borderId="0" xfId="0" applyFont="1" applyAlignment="1">
      <alignment vertical="center" wrapText="1"/>
    </xf>
    <xf numFmtId="10" fontId="0" fillId="4" borderId="0" xfId="3" applyNumberFormat="1" applyFont="1" applyFill="1"/>
    <xf numFmtId="0" fontId="8" fillId="3" borderId="0" xfId="0" applyFont="1" applyFill="1" applyAlignment="1">
      <alignment horizontal="center" wrapText="1"/>
    </xf>
    <xf numFmtId="0" fontId="5" fillId="3" borderId="0" xfId="0" applyNumberFormat="1" applyFont="1" applyFill="1"/>
    <xf numFmtId="3" fontId="6" fillId="3" borderId="0" xfId="0" applyNumberFormat="1" applyFont="1" applyFill="1"/>
    <xf numFmtId="0" fontId="0" fillId="8" borderId="0" xfId="0" applyFill="1"/>
    <xf numFmtId="10" fontId="0" fillId="8" borderId="0" xfId="3" applyNumberFormat="1" applyFont="1" applyFill="1"/>
    <xf numFmtId="0" fontId="0" fillId="9" borderId="0" xfId="0" applyFill="1"/>
    <xf numFmtId="0" fontId="8" fillId="9" borderId="0" xfId="0" applyFont="1" applyFill="1" applyAlignment="1">
      <alignment horizontal="center" wrapText="1"/>
    </xf>
    <xf numFmtId="10" fontId="0" fillId="9" borderId="0" xfId="3" applyNumberFormat="1" applyFont="1" applyFill="1"/>
    <xf numFmtId="0" fontId="0" fillId="0" borderId="0" xfId="0" applyFill="1" applyBorder="1" applyAlignment="1">
      <alignment wrapText="1"/>
    </xf>
    <xf numFmtId="14" fontId="0" fillId="5" borderId="0" xfId="0" applyNumberFormat="1" applyFill="1" applyAlignment="1">
      <alignment horizontal="right"/>
    </xf>
    <xf numFmtId="0" fontId="2" fillId="0" borderId="0" xfId="2"/>
    <xf numFmtId="2" fontId="0" fillId="0" borderId="0" xfId="3" applyNumberFormat="1" applyFont="1" applyAlignment="1">
      <alignment vertical="center"/>
    </xf>
    <xf numFmtId="2" fontId="0" fillId="0" borderId="0" xfId="3" applyNumberFormat="1" applyFont="1"/>
    <xf numFmtId="0" fontId="0" fillId="0" borderId="0" xfId="3" applyNumberFormat="1" applyFont="1"/>
    <xf numFmtId="0" fontId="0" fillId="0" borderId="0" xfId="3" applyNumberFormat="1" applyFont="1" applyAlignment="1">
      <alignment vertical="center"/>
    </xf>
    <xf numFmtId="0" fontId="0" fillId="0" borderId="0" xfId="0" applyAlignment="1">
      <alignment vertical="center"/>
    </xf>
    <xf numFmtId="0" fontId="0" fillId="0" borderId="0" xfId="0" applyAlignment="1">
      <alignment horizontal="left" wrapText="1"/>
    </xf>
    <xf numFmtId="0" fontId="11" fillId="0" borderId="0" xfId="0" applyFont="1" applyAlignment="1">
      <alignment horizontal="center" vertical="center" wrapText="1"/>
    </xf>
    <xf numFmtId="0" fontId="10"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0" fontId="11" fillId="0" borderId="0" xfId="0" applyFont="1" applyAlignment="1">
      <alignment horizontal="center" vertical="center" wrapText="1"/>
    </xf>
    <xf numFmtId="0" fontId="9" fillId="0" borderId="0" xfId="0" applyFont="1" applyAlignment="1">
      <alignment horizontal="center"/>
    </xf>
    <xf numFmtId="0" fontId="0" fillId="0" borderId="0" xfId="0" applyAlignment="1">
      <alignment horizontal="left" wrapText="1"/>
    </xf>
    <xf numFmtId="0" fontId="0" fillId="0" borderId="0" xfId="0" applyAlignment="1">
      <alignment horizontal="left" vertical="center"/>
    </xf>
    <xf numFmtId="0" fontId="10" fillId="0" borderId="0" xfId="0" applyFont="1" applyAlignment="1">
      <alignment horizontal="center"/>
    </xf>
    <xf numFmtId="0" fontId="3" fillId="0" borderId="0" xfId="0" applyFont="1" applyAlignment="1">
      <alignment horizontal="center"/>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xf>
    <xf numFmtId="0" fontId="0" fillId="0" borderId="0" xfId="0" applyAlignment="1">
      <alignment horizontal="center" wrapText="1"/>
    </xf>
    <xf numFmtId="0" fontId="0" fillId="3" borderId="0" xfId="0" applyFill="1" applyAlignment="1">
      <alignment horizontal="center" wrapText="1"/>
    </xf>
    <xf numFmtId="0" fontId="0" fillId="3" borderId="0" xfId="0" applyFill="1" applyAlignment="1">
      <alignment horizontal="center"/>
    </xf>
    <xf numFmtId="0" fontId="0" fillId="2" borderId="0" xfId="0" applyFill="1" applyAlignment="1">
      <alignment horizontal="center" wrapText="1"/>
    </xf>
    <xf numFmtId="0" fontId="0" fillId="5" borderId="0" xfId="0" applyFill="1" applyAlignment="1">
      <alignment horizontal="center"/>
    </xf>
    <xf numFmtId="0" fontId="0" fillId="9" borderId="0" xfId="0" applyFill="1" applyAlignment="1">
      <alignment horizontal="center" wrapText="1"/>
    </xf>
    <xf numFmtId="0" fontId="0" fillId="4" borderId="0" xfId="0" applyFill="1" applyAlignment="1">
      <alignment horizontal="center" wrapText="1"/>
    </xf>
    <xf numFmtId="0" fontId="3" fillId="8" borderId="0" xfId="0" applyFont="1" applyFill="1" applyAlignment="1">
      <alignment horizontal="center"/>
    </xf>
    <xf numFmtId="0" fontId="0" fillId="8" borderId="0" xfId="0" applyFill="1" applyAlignment="1">
      <alignment horizontal="center" wrapText="1"/>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2000" b="1">
                <a:solidFill>
                  <a:sysClr val="windowText" lastClr="000000"/>
                </a:solidFill>
              </a:rPr>
              <a:t>Log Scale</a:t>
            </a:r>
            <a:r>
              <a:rPr lang="en-US" sz="2000" b="1" baseline="0">
                <a:solidFill>
                  <a:sysClr val="windowText" lastClr="000000"/>
                </a:solidFill>
              </a:rPr>
              <a:t> - Cost of Living in 1946</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2913396506640752E-2"/>
          <c:y val="0.10109050028105677"/>
          <c:w val="0.89204841543032209"/>
          <c:h val="0.81754520145352827"/>
        </c:manualLayout>
      </c:layout>
      <c:lineChart>
        <c:grouping val="standard"/>
        <c:varyColors val="0"/>
        <c:ser>
          <c:idx val="0"/>
          <c:order val="0"/>
          <c:spPr>
            <a:ln w="50800" cap="rnd">
              <a:solidFill>
                <a:schemeClr val="accent1"/>
              </a:solidFill>
              <a:round/>
            </a:ln>
            <a:effectLst/>
          </c:spPr>
          <c:marker>
            <c:symbol val="none"/>
          </c:marker>
          <c:cat>
            <c:numRef>
              <c:f>'Tab 1'!$B$5:$B$167</c:f>
              <c:numCache>
                <c:formatCode>m/d/yyyy</c:formatCode>
                <c:ptCount val="163"/>
                <c:pt idx="0">
                  <c:v>16804</c:v>
                </c:pt>
                <c:pt idx="1">
                  <c:v>16805</c:v>
                </c:pt>
                <c:pt idx="2">
                  <c:v>16806</c:v>
                </c:pt>
                <c:pt idx="3">
                  <c:v>16807</c:v>
                </c:pt>
                <c:pt idx="4">
                  <c:v>16809</c:v>
                </c:pt>
                <c:pt idx="5">
                  <c:v>16810</c:v>
                </c:pt>
                <c:pt idx="6">
                  <c:v>16811</c:v>
                </c:pt>
                <c:pt idx="7">
                  <c:v>16812</c:v>
                </c:pt>
                <c:pt idx="8">
                  <c:v>16813</c:v>
                </c:pt>
                <c:pt idx="9">
                  <c:v>16814</c:v>
                </c:pt>
                <c:pt idx="10">
                  <c:v>16816</c:v>
                </c:pt>
                <c:pt idx="11">
                  <c:v>16817</c:v>
                </c:pt>
                <c:pt idx="12">
                  <c:v>16818</c:v>
                </c:pt>
                <c:pt idx="13">
                  <c:v>16819</c:v>
                </c:pt>
                <c:pt idx="14">
                  <c:v>16820</c:v>
                </c:pt>
                <c:pt idx="15">
                  <c:v>16821</c:v>
                </c:pt>
                <c:pt idx="16">
                  <c:v>16823</c:v>
                </c:pt>
                <c:pt idx="17">
                  <c:v>16824</c:v>
                </c:pt>
                <c:pt idx="18">
                  <c:v>16825</c:v>
                </c:pt>
                <c:pt idx="19">
                  <c:v>16826</c:v>
                </c:pt>
                <c:pt idx="20">
                  <c:v>16827</c:v>
                </c:pt>
                <c:pt idx="21">
                  <c:v>16828</c:v>
                </c:pt>
                <c:pt idx="22">
                  <c:v>16830</c:v>
                </c:pt>
                <c:pt idx="23">
                  <c:v>16831</c:v>
                </c:pt>
                <c:pt idx="24">
                  <c:v>16832</c:v>
                </c:pt>
                <c:pt idx="25">
                  <c:v>16833</c:v>
                </c:pt>
                <c:pt idx="26">
                  <c:v>16837</c:v>
                </c:pt>
                <c:pt idx="27">
                  <c:v>16838</c:v>
                </c:pt>
                <c:pt idx="28">
                  <c:v>16839</c:v>
                </c:pt>
                <c:pt idx="29">
                  <c:v>16840</c:v>
                </c:pt>
                <c:pt idx="30">
                  <c:v>16841</c:v>
                </c:pt>
                <c:pt idx="31">
                  <c:v>16842</c:v>
                </c:pt>
                <c:pt idx="32">
                  <c:v>16844</c:v>
                </c:pt>
                <c:pt idx="33">
                  <c:v>16845</c:v>
                </c:pt>
                <c:pt idx="34">
                  <c:v>16846</c:v>
                </c:pt>
                <c:pt idx="35">
                  <c:v>16847</c:v>
                </c:pt>
                <c:pt idx="36">
                  <c:v>16848</c:v>
                </c:pt>
                <c:pt idx="37">
                  <c:v>16849</c:v>
                </c:pt>
                <c:pt idx="38">
                  <c:v>16851</c:v>
                </c:pt>
                <c:pt idx="39">
                  <c:v>16852</c:v>
                </c:pt>
                <c:pt idx="40">
                  <c:v>16853</c:v>
                </c:pt>
                <c:pt idx="41">
                  <c:v>16854</c:v>
                </c:pt>
                <c:pt idx="42">
                  <c:v>16855</c:v>
                </c:pt>
                <c:pt idx="43">
                  <c:v>16856</c:v>
                </c:pt>
                <c:pt idx="44">
                  <c:v>16858</c:v>
                </c:pt>
                <c:pt idx="45">
                  <c:v>16859</c:v>
                </c:pt>
                <c:pt idx="46">
                  <c:v>16860</c:v>
                </c:pt>
                <c:pt idx="47">
                  <c:v>16861</c:v>
                </c:pt>
                <c:pt idx="48">
                  <c:v>16862</c:v>
                </c:pt>
                <c:pt idx="49">
                  <c:v>16863</c:v>
                </c:pt>
                <c:pt idx="50">
                  <c:v>16865</c:v>
                </c:pt>
                <c:pt idx="51">
                  <c:v>16866</c:v>
                </c:pt>
                <c:pt idx="52">
                  <c:v>16867</c:v>
                </c:pt>
                <c:pt idx="53">
                  <c:v>16868</c:v>
                </c:pt>
                <c:pt idx="54">
                  <c:v>16869</c:v>
                </c:pt>
                <c:pt idx="55">
                  <c:v>16870</c:v>
                </c:pt>
                <c:pt idx="56">
                  <c:v>16872</c:v>
                </c:pt>
                <c:pt idx="57">
                  <c:v>16873</c:v>
                </c:pt>
                <c:pt idx="58">
                  <c:v>16874</c:v>
                </c:pt>
                <c:pt idx="59">
                  <c:v>16875</c:v>
                </c:pt>
                <c:pt idx="60">
                  <c:v>16877</c:v>
                </c:pt>
                <c:pt idx="61">
                  <c:v>16879</c:v>
                </c:pt>
                <c:pt idx="62">
                  <c:v>16880</c:v>
                </c:pt>
                <c:pt idx="63">
                  <c:v>16881</c:v>
                </c:pt>
                <c:pt idx="64">
                  <c:v>16882</c:v>
                </c:pt>
                <c:pt idx="65">
                  <c:v>16883</c:v>
                </c:pt>
                <c:pt idx="66">
                  <c:v>16884</c:v>
                </c:pt>
                <c:pt idx="67">
                  <c:v>16887</c:v>
                </c:pt>
                <c:pt idx="68">
                  <c:v>16888</c:v>
                </c:pt>
                <c:pt idx="69">
                  <c:v>16889</c:v>
                </c:pt>
                <c:pt idx="70">
                  <c:v>16890</c:v>
                </c:pt>
                <c:pt idx="71">
                  <c:v>16891</c:v>
                </c:pt>
                <c:pt idx="72">
                  <c:v>16893</c:v>
                </c:pt>
                <c:pt idx="73">
                  <c:v>16894</c:v>
                </c:pt>
                <c:pt idx="74">
                  <c:v>16895</c:v>
                </c:pt>
                <c:pt idx="75">
                  <c:v>16897</c:v>
                </c:pt>
                <c:pt idx="76">
                  <c:v>16898</c:v>
                </c:pt>
                <c:pt idx="77">
                  <c:v>16900</c:v>
                </c:pt>
                <c:pt idx="78">
                  <c:v>16901</c:v>
                </c:pt>
                <c:pt idx="79">
                  <c:v>16902</c:v>
                </c:pt>
                <c:pt idx="80">
                  <c:v>16903</c:v>
                </c:pt>
                <c:pt idx="81">
                  <c:v>16904</c:v>
                </c:pt>
                <c:pt idx="82">
                  <c:v>16905</c:v>
                </c:pt>
                <c:pt idx="83">
                  <c:v>16907</c:v>
                </c:pt>
                <c:pt idx="84">
                  <c:v>16908</c:v>
                </c:pt>
                <c:pt idx="85">
                  <c:v>16909</c:v>
                </c:pt>
                <c:pt idx="86">
                  <c:v>16910</c:v>
                </c:pt>
                <c:pt idx="87">
                  <c:v>16911</c:v>
                </c:pt>
                <c:pt idx="88">
                  <c:v>16912</c:v>
                </c:pt>
                <c:pt idx="89">
                  <c:v>16915</c:v>
                </c:pt>
                <c:pt idx="90">
                  <c:v>16916</c:v>
                </c:pt>
                <c:pt idx="91">
                  <c:v>16917</c:v>
                </c:pt>
                <c:pt idx="92">
                  <c:v>16918</c:v>
                </c:pt>
                <c:pt idx="93">
                  <c:v>16919</c:v>
                </c:pt>
                <c:pt idx="94">
                  <c:v>16921</c:v>
                </c:pt>
                <c:pt idx="95">
                  <c:v>16922</c:v>
                </c:pt>
                <c:pt idx="96">
                  <c:v>16924</c:v>
                </c:pt>
                <c:pt idx="97">
                  <c:v>16925</c:v>
                </c:pt>
                <c:pt idx="98">
                  <c:v>16926</c:v>
                </c:pt>
                <c:pt idx="99">
                  <c:v>16928</c:v>
                </c:pt>
                <c:pt idx="100">
                  <c:v>16929</c:v>
                </c:pt>
                <c:pt idx="101">
                  <c:v>16930</c:v>
                </c:pt>
                <c:pt idx="102">
                  <c:v>16931</c:v>
                </c:pt>
                <c:pt idx="103">
                  <c:v>16932</c:v>
                </c:pt>
                <c:pt idx="104">
                  <c:v>16933</c:v>
                </c:pt>
                <c:pt idx="105">
                  <c:v>16935</c:v>
                </c:pt>
                <c:pt idx="106">
                  <c:v>16936</c:v>
                </c:pt>
                <c:pt idx="107">
                  <c:v>16937</c:v>
                </c:pt>
                <c:pt idx="108">
                  <c:v>16938</c:v>
                </c:pt>
                <c:pt idx="109">
                  <c:v>16939</c:v>
                </c:pt>
                <c:pt idx="110">
                  <c:v>16940</c:v>
                </c:pt>
                <c:pt idx="111">
                  <c:v>16942</c:v>
                </c:pt>
                <c:pt idx="112">
                  <c:v>16943</c:v>
                </c:pt>
                <c:pt idx="113">
                  <c:v>16944</c:v>
                </c:pt>
                <c:pt idx="114">
                  <c:v>16945</c:v>
                </c:pt>
                <c:pt idx="115">
                  <c:v>16946</c:v>
                </c:pt>
                <c:pt idx="116">
                  <c:v>16947</c:v>
                </c:pt>
                <c:pt idx="117">
                  <c:v>16949</c:v>
                </c:pt>
                <c:pt idx="118">
                  <c:v>16950</c:v>
                </c:pt>
                <c:pt idx="119">
                  <c:v>16951</c:v>
                </c:pt>
                <c:pt idx="120">
                  <c:v>16953</c:v>
                </c:pt>
                <c:pt idx="121">
                  <c:v>16954</c:v>
                </c:pt>
                <c:pt idx="122">
                  <c:v>16956</c:v>
                </c:pt>
                <c:pt idx="123">
                  <c:v>16957</c:v>
                </c:pt>
                <c:pt idx="124">
                  <c:v>16958</c:v>
                </c:pt>
                <c:pt idx="125">
                  <c:v>16959</c:v>
                </c:pt>
                <c:pt idx="126">
                  <c:v>16960</c:v>
                </c:pt>
                <c:pt idx="127">
                  <c:v>16961</c:v>
                </c:pt>
                <c:pt idx="128">
                  <c:v>16964</c:v>
                </c:pt>
                <c:pt idx="129">
                  <c:v>16965</c:v>
                </c:pt>
                <c:pt idx="130">
                  <c:v>16966</c:v>
                </c:pt>
                <c:pt idx="131">
                  <c:v>16967</c:v>
                </c:pt>
                <c:pt idx="132">
                  <c:v>16968</c:v>
                </c:pt>
                <c:pt idx="133">
                  <c:v>16970</c:v>
                </c:pt>
                <c:pt idx="134">
                  <c:v>16971</c:v>
                </c:pt>
                <c:pt idx="135">
                  <c:v>16972</c:v>
                </c:pt>
                <c:pt idx="136">
                  <c:v>16974</c:v>
                </c:pt>
                <c:pt idx="137">
                  <c:v>16975</c:v>
                </c:pt>
                <c:pt idx="138">
                  <c:v>16977</c:v>
                </c:pt>
                <c:pt idx="139">
                  <c:v>16978</c:v>
                </c:pt>
                <c:pt idx="140">
                  <c:v>16979</c:v>
                </c:pt>
                <c:pt idx="141">
                  <c:v>16980</c:v>
                </c:pt>
                <c:pt idx="142">
                  <c:v>16981</c:v>
                </c:pt>
                <c:pt idx="143">
                  <c:v>16984</c:v>
                </c:pt>
                <c:pt idx="144">
                  <c:v>16985</c:v>
                </c:pt>
                <c:pt idx="145">
                  <c:v>16986</c:v>
                </c:pt>
                <c:pt idx="146">
                  <c:v>16987</c:v>
                </c:pt>
                <c:pt idx="147">
                  <c:v>16988</c:v>
                </c:pt>
                <c:pt idx="148">
                  <c:v>16989</c:v>
                </c:pt>
                <c:pt idx="149">
                  <c:v>16991</c:v>
                </c:pt>
                <c:pt idx="150">
                  <c:v>16992</c:v>
                </c:pt>
                <c:pt idx="151">
                  <c:v>16993</c:v>
                </c:pt>
                <c:pt idx="152">
                  <c:v>16994</c:v>
                </c:pt>
                <c:pt idx="153">
                  <c:v>16995</c:v>
                </c:pt>
                <c:pt idx="154">
                  <c:v>16996</c:v>
                </c:pt>
                <c:pt idx="155">
                  <c:v>16998</c:v>
                </c:pt>
                <c:pt idx="156">
                  <c:v>17000</c:v>
                </c:pt>
                <c:pt idx="157">
                  <c:v>17001</c:v>
                </c:pt>
                <c:pt idx="158">
                  <c:v>17002</c:v>
                </c:pt>
                <c:pt idx="159">
                  <c:v>17003</c:v>
                </c:pt>
                <c:pt idx="160">
                  <c:v>17005</c:v>
                </c:pt>
                <c:pt idx="161">
                  <c:v>17006</c:v>
                </c:pt>
                <c:pt idx="162">
                  <c:v>17007</c:v>
                </c:pt>
              </c:numCache>
            </c:numRef>
          </c:cat>
          <c:val>
            <c:numRef>
              <c:f>'Tab 1'!$C$5:$C$167</c:f>
              <c:numCache>
                <c:formatCode>General</c:formatCode>
                <c:ptCount val="163"/>
                <c:pt idx="0">
                  <c:v>45383</c:v>
                </c:pt>
                <c:pt idx="1">
                  <c:v>45383</c:v>
                </c:pt>
                <c:pt idx="2">
                  <c:v>45383</c:v>
                </c:pt>
                <c:pt idx="3">
                  <c:v>48333</c:v>
                </c:pt>
                <c:pt idx="4">
                  <c:v>50784</c:v>
                </c:pt>
                <c:pt idx="5">
                  <c:v>50638</c:v>
                </c:pt>
                <c:pt idx="6">
                  <c:v>50738</c:v>
                </c:pt>
                <c:pt idx="7">
                  <c:v>49222</c:v>
                </c:pt>
                <c:pt idx="8">
                  <c:v>48560</c:v>
                </c:pt>
                <c:pt idx="9">
                  <c:v>49059</c:v>
                </c:pt>
                <c:pt idx="10">
                  <c:v>50284</c:v>
                </c:pt>
                <c:pt idx="11">
                  <c:v>50370</c:v>
                </c:pt>
                <c:pt idx="12">
                  <c:v>52644</c:v>
                </c:pt>
                <c:pt idx="13">
                  <c:v>53053</c:v>
                </c:pt>
                <c:pt idx="14">
                  <c:v>53643</c:v>
                </c:pt>
                <c:pt idx="15">
                  <c:v>54569</c:v>
                </c:pt>
                <c:pt idx="16">
                  <c:v>56003</c:v>
                </c:pt>
                <c:pt idx="17">
                  <c:v>57228</c:v>
                </c:pt>
                <c:pt idx="18">
                  <c:v>53128</c:v>
                </c:pt>
                <c:pt idx="19">
                  <c:v>53978</c:v>
                </c:pt>
                <c:pt idx="20">
                  <c:v>51935</c:v>
                </c:pt>
                <c:pt idx="21">
                  <c:v>52183</c:v>
                </c:pt>
                <c:pt idx="22">
                  <c:v>53903</c:v>
                </c:pt>
                <c:pt idx="23">
                  <c:v>54275</c:v>
                </c:pt>
                <c:pt idx="24">
                  <c:v>55925</c:v>
                </c:pt>
                <c:pt idx="25">
                  <c:v>56378</c:v>
                </c:pt>
                <c:pt idx="26">
                  <c:v>68986</c:v>
                </c:pt>
                <c:pt idx="27">
                  <c:v>75103</c:v>
                </c:pt>
                <c:pt idx="28">
                  <c:v>79917</c:v>
                </c:pt>
                <c:pt idx="29">
                  <c:v>82846</c:v>
                </c:pt>
                <c:pt idx="30">
                  <c:v>86034</c:v>
                </c:pt>
                <c:pt idx="31">
                  <c:v>86059</c:v>
                </c:pt>
                <c:pt idx="32">
                  <c:v>87846</c:v>
                </c:pt>
                <c:pt idx="33">
                  <c:v>88677</c:v>
                </c:pt>
                <c:pt idx="34">
                  <c:v>92191</c:v>
                </c:pt>
                <c:pt idx="35">
                  <c:v>100423</c:v>
                </c:pt>
                <c:pt idx="36">
                  <c:v>101316</c:v>
                </c:pt>
                <c:pt idx="37">
                  <c:v>110677</c:v>
                </c:pt>
                <c:pt idx="38">
                  <c:v>133854</c:v>
                </c:pt>
                <c:pt idx="39">
                  <c:v>147421</c:v>
                </c:pt>
                <c:pt idx="40">
                  <c:v>161472</c:v>
                </c:pt>
                <c:pt idx="41">
                  <c:v>195864</c:v>
                </c:pt>
                <c:pt idx="42">
                  <c:v>208916</c:v>
                </c:pt>
                <c:pt idx="43">
                  <c:v>242154</c:v>
                </c:pt>
                <c:pt idx="44">
                  <c:v>305842</c:v>
                </c:pt>
                <c:pt idx="45">
                  <c:v>328172</c:v>
                </c:pt>
                <c:pt idx="46">
                  <c:v>357217</c:v>
                </c:pt>
                <c:pt idx="47">
                  <c:v>334259</c:v>
                </c:pt>
                <c:pt idx="48">
                  <c:v>340477</c:v>
                </c:pt>
                <c:pt idx="49">
                  <c:v>379249</c:v>
                </c:pt>
                <c:pt idx="50">
                  <c:v>420936</c:v>
                </c:pt>
                <c:pt idx="51">
                  <c:v>433566</c:v>
                </c:pt>
                <c:pt idx="52">
                  <c:v>541494</c:v>
                </c:pt>
                <c:pt idx="53">
                  <c:v>496445</c:v>
                </c:pt>
                <c:pt idx="54">
                  <c:v>506792</c:v>
                </c:pt>
                <c:pt idx="55">
                  <c:v>523231</c:v>
                </c:pt>
                <c:pt idx="56">
                  <c:v>539733</c:v>
                </c:pt>
                <c:pt idx="57">
                  <c:v>536873</c:v>
                </c:pt>
                <c:pt idx="58">
                  <c:v>560558</c:v>
                </c:pt>
                <c:pt idx="59">
                  <c:v>575977</c:v>
                </c:pt>
                <c:pt idx="60">
                  <c:v>585568</c:v>
                </c:pt>
                <c:pt idx="61">
                  <c:v>653099</c:v>
                </c:pt>
                <c:pt idx="62">
                  <c:v>716960</c:v>
                </c:pt>
                <c:pt idx="63">
                  <c:v>746861</c:v>
                </c:pt>
                <c:pt idx="64">
                  <c:v>769471</c:v>
                </c:pt>
                <c:pt idx="65">
                  <c:v>807873</c:v>
                </c:pt>
                <c:pt idx="66">
                  <c:v>850206</c:v>
                </c:pt>
                <c:pt idx="67">
                  <c:v>956893</c:v>
                </c:pt>
                <c:pt idx="68">
                  <c:v>946223</c:v>
                </c:pt>
                <c:pt idx="69">
                  <c:v>1053866</c:v>
                </c:pt>
                <c:pt idx="70">
                  <c:v>1156675</c:v>
                </c:pt>
                <c:pt idx="71">
                  <c:v>1222134</c:v>
                </c:pt>
                <c:pt idx="72">
                  <c:v>1674839</c:v>
                </c:pt>
                <c:pt idx="73">
                  <c:v>1828797</c:v>
                </c:pt>
                <c:pt idx="74">
                  <c:v>1975248</c:v>
                </c:pt>
                <c:pt idx="75">
                  <c:v>2255298</c:v>
                </c:pt>
                <c:pt idx="76">
                  <c:v>2413139</c:v>
                </c:pt>
                <c:pt idx="77">
                  <c:v>2924975</c:v>
                </c:pt>
                <c:pt idx="78">
                  <c:v>3207047</c:v>
                </c:pt>
                <c:pt idx="79">
                  <c:v>3301712</c:v>
                </c:pt>
                <c:pt idx="80">
                  <c:v>3372176</c:v>
                </c:pt>
                <c:pt idx="81">
                  <c:v>3765360</c:v>
                </c:pt>
                <c:pt idx="82">
                  <c:v>4289429</c:v>
                </c:pt>
                <c:pt idx="83">
                  <c:v>5108474</c:v>
                </c:pt>
                <c:pt idx="84">
                  <c:v>6148821</c:v>
                </c:pt>
                <c:pt idx="85">
                  <c:v>6521526</c:v>
                </c:pt>
                <c:pt idx="86">
                  <c:v>7272084</c:v>
                </c:pt>
                <c:pt idx="87">
                  <c:v>7927295</c:v>
                </c:pt>
                <c:pt idx="88">
                  <c:v>10275062</c:v>
                </c:pt>
                <c:pt idx="89">
                  <c:v>12298015</c:v>
                </c:pt>
                <c:pt idx="90">
                  <c:v>14279901</c:v>
                </c:pt>
                <c:pt idx="91">
                  <c:v>15279901</c:v>
                </c:pt>
                <c:pt idx="92">
                  <c:v>19774442</c:v>
                </c:pt>
                <c:pt idx="93">
                  <c:v>23135484</c:v>
                </c:pt>
                <c:pt idx="94">
                  <c:v>26930273</c:v>
                </c:pt>
                <c:pt idx="95">
                  <c:v>28662283</c:v>
                </c:pt>
                <c:pt idx="96">
                  <c:v>37019603</c:v>
                </c:pt>
                <c:pt idx="97">
                  <c:v>44091564</c:v>
                </c:pt>
                <c:pt idx="98">
                  <c:v>53638710</c:v>
                </c:pt>
                <c:pt idx="99">
                  <c:v>69229281</c:v>
                </c:pt>
                <c:pt idx="100">
                  <c:v>76210919</c:v>
                </c:pt>
                <c:pt idx="101">
                  <c:v>82012159</c:v>
                </c:pt>
                <c:pt idx="102">
                  <c:v>91369479</c:v>
                </c:pt>
                <c:pt idx="103">
                  <c:v>107569240</c:v>
                </c:pt>
                <c:pt idx="104">
                  <c:v>136358320</c:v>
                </c:pt>
                <c:pt idx="105">
                  <c:v>194772960</c:v>
                </c:pt>
                <c:pt idx="106">
                  <c:v>223341200</c:v>
                </c:pt>
                <c:pt idx="107">
                  <c:v>258906950</c:v>
                </c:pt>
                <c:pt idx="108">
                  <c:v>373311420</c:v>
                </c:pt>
                <c:pt idx="109">
                  <c:v>522078170</c:v>
                </c:pt>
                <c:pt idx="110">
                  <c:v>696091820</c:v>
                </c:pt>
                <c:pt idx="111">
                  <c:v>968052110</c:v>
                </c:pt>
                <c:pt idx="112">
                  <c:v>1059900800</c:v>
                </c:pt>
                <c:pt idx="113">
                  <c:v>1262196000</c:v>
                </c:pt>
                <c:pt idx="114">
                  <c:v>1678399600</c:v>
                </c:pt>
                <c:pt idx="115">
                  <c:v>2530062100</c:v>
                </c:pt>
                <c:pt idx="116">
                  <c:v>3473486400</c:v>
                </c:pt>
                <c:pt idx="117">
                  <c:v>4202828800</c:v>
                </c:pt>
                <c:pt idx="118">
                  <c:v>4742779200</c:v>
                </c:pt>
                <c:pt idx="119">
                  <c:v>5779132000</c:v>
                </c:pt>
                <c:pt idx="120">
                  <c:v>11383128000</c:v>
                </c:pt>
                <c:pt idx="121">
                  <c:v>14990200000</c:v>
                </c:pt>
                <c:pt idx="122">
                  <c:v>14990200000</c:v>
                </c:pt>
                <c:pt idx="123">
                  <c:v>17990700000</c:v>
                </c:pt>
                <c:pt idx="124">
                  <c:v>20798200000</c:v>
                </c:pt>
                <c:pt idx="125">
                  <c:v>51949200000</c:v>
                </c:pt>
                <c:pt idx="126">
                  <c:v>78017400000</c:v>
                </c:pt>
                <c:pt idx="127" formatCode="0">
                  <c:v>129256300000</c:v>
                </c:pt>
                <c:pt idx="128" formatCode="0">
                  <c:v>168871800000</c:v>
                </c:pt>
                <c:pt idx="129" formatCode="0">
                  <c:v>185986600000</c:v>
                </c:pt>
                <c:pt idx="130" formatCode="0">
                  <c:v>286708700000</c:v>
                </c:pt>
                <c:pt idx="131" formatCode="0">
                  <c:v>462522200000</c:v>
                </c:pt>
                <c:pt idx="132" formatCode="0">
                  <c:v>858965100000</c:v>
                </c:pt>
                <c:pt idx="133" formatCode="0">
                  <c:v>1408248400000</c:v>
                </c:pt>
                <c:pt idx="134" formatCode="0">
                  <c:v>1993100000000</c:v>
                </c:pt>
                <c:pt idx="135" formatCode="0">
                  <c:v>4597500000000</c:v>
                </c:pt>
                <c:pt idx="136" formatCode="0">
                  <c:v>12262100000000</c:v>
                </c:pt>
                <c:pt idx="137" formatCode="0">
                  <c:v>20507200000000</c:v>
                </c:pt>
                <c:pt idx="138" formatCode="0">
                  <c:v>27954200000000</c:v>
                </c:pt>
                <c:pt idx="139" formatCode="0">
                  <c:v>46526000000000</c:v>
                </c:pt>
                <c:pt idx="140" formatCode="0">
                  <c:v>105136600000000</c:v>
                </c:pt>
                <c:pt idx="141" formatCode="0">
                  <c:v>279857000000000</c:v>
                </c:pt>
                <c:pt idx="142" formatCode="0">
                  <c:v>947965600000000</c:v>
                </c:pt>
                <c:pt idx="143" formatCode="0">
                  <c:v>3427100000000000</c:v>
                </c:pt>
                <c:pt idx="144" formatCode="0">
                  <c:v>1.30994E+16</c:v>
                </c:pt>
                <c:pt idx="145" formatCode="0">
                  <c:v>5.22749E+16</c:v>
                </c:pt>
                <c:pt idx="146" formatCode="0">
                  <c:v>2.22924E+17</c:v>
                </c:pt>
                <c:pt idx="147" formatCode="0">
                  <c:v>9.4E+17</c:v>
                </c:pt>
                <c:pt idx="148" formatCode="0">
                  <c:v>3.671E+18</c:v>
                </c:pt>
                <c:pt idx="149" formatCode="0">
                  <c:v>1.25943E+19</c:v>
                </c:pt>
                <c:pt idx="150" formatCode="0">
                  <c:v>5.6235E+19</c:v>
                </c:pt>
                <c:pt idx="151" formatCode="0">
                  <c:v>2.522712E+20</c:v>
                </c:pt>
                <c:pt idx="152" formatCode="0">
                  <c:v>3.1270000000000003E+21</c:v>
                </c:pt>
                <c:pt idx="153" formatCode="0">
                  <c:v>1.4268000000000001E+22</c:v>
                </c:pt>
                <c:pt idx="154" formatCode="0">
                  <c:v>6.9679000000000002E+22</c:v>
                </c:pt>
                <c:pt idx="155" formatCode="0">
                  <c:v>2.8495299999999999E+23</c:v>
                </c:pt>
                <c:pt idx="156" formatCode="0">
                  <c:v>1.185374E+27</c:v>
                </c:pt>
                <c:pt idx="157" formatCode="0">
                  <c:v>5.0091710000000003E+27</c:v>
                </c:pt>
                <c:pt idx="158" formatCode="0">
                  <c:v>1.7764187999999999E+28</c:v>
                </c:pt>
                <c:pt idx="159" formatCode="0">
                  <c:v>4.9200335999999999E+28</c:v>
                </c:pt>
                <c:pt idx="160" formatCode="0">
                  <c:v>2.0486697999999999E+29</c:v>
                </c:pt>
                <c:pt idx="161" formatCode="0">
                  <c:v>7.1915974000000007E+29</c:v>
                </c:pt>
                <c:pt idx="162" formatCode="0">
                  <c:v>3.179819E+30</c:v>
                </c:pt>
              </c:numCache>
            </c:numRef>
          </c:val>
          <c:smooth val="0"/>
          <c:extLst xmlns:c16r2="http://schemas.microsoft.com/office/drawing/2015/06/chart">
            <c:ext xmlns:c16="http://schemas.microsoft.com/office/drawing/2014/chart" uri="{C3380CC4-5D6E-409C-BE32-E72D297353CC}">
              <c16:uniqueId val="{00000000-3588-4DF6-B537-1D18A2CD804F}"/>
            </c:ext>
          </c:extLst>
        </c:ser>
        <c:dLbls>
          <c:showLegendKey val="0"/>
          <c:showVal val="0"/>
          <c:showCatName val="0"/>
          <c:showSerName val="0"/>
          <c:showPercent val="0"/>
          <c:showBubbleSize val="0"/>
        </c:dLbls>
        <c:smooth val="0"/>
        <c:axId val="817811744"/>
        <c:axId val="817822624"/>
      </c:lineChart>
      <c:dateAx>
        <c:axId val="81781174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17822624"/>
        <c:crosses val="autoZero"/>
        <c:auto val="1"/>
        <c:lblOffset val="100"/>
        <c:baseTimeUnit val="days"/>
        <c:majorUnit val="28"/>
        <c:majorTimeUnit val="days"/>
      </c:dateAx>
      <c:valAx>
        <c:axId val="817822624"/>
        <c:scaling>
          <c:logBase val="10"/>
          <c:orientation val="minMax"/>
          <c:min val="45000"/>
        </c:scaling>
        <c:delete val="0"/>
        <c:axPos val="l"/>
        <c:majorGridlines>
          <c:spPr>
            <a:ln w="9525" cap="flat" cmpd="sng" algn="ctr">
              <a:solidFill>
                <a:schemeClr val="tx1">
                  <a:lumMod val="15000"/>
                  <a:lumOff val="8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178117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r>
              <a:rPr lang="en-US" sz="2000" b="1">
                <a:solidFill>
                  <a:sysClr val="windowText" lastClr="000000"/>
                </a:solidFill>
              </a:rPr>
              <a:t>Price Index</a:t>
            </a:r>
            <a:r>
              <a:rPr lang="en-US" sz="2000" b="1" baseline="0">
                <a:solidFill>
                  <a:sysClr val="windowText" lastClr="000000"/>
                </a:solidFill>
              </a:rPr>
              <a:t> for Cost of Living, Wheat, Coal</a:t>
            </a:r>
            <a:endParaRPr lang="en-US" sz="2000" b="1">
              <a:solidFill>
                <a:sysClr val="windowText" lastClr="000000"/>
              </a:solidFill>
            </a:endParaRPr>
          </a:p>
        </c:rich>
      </c:tx>
      <c:overlay val="0"/>
      <c:spPr>
        <a:no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245986725144366"/>
          <c:y val="0.14297999332079805"/>
          <c:w val="0.75198812502035595"/>
          <c:h val="0.76016366681954195"/>
        </c:manualLayout>
      </c:layout>
      <c:lineChart>
        <c:grouping val="standard"/>
        <c:varyColors val="0"/>
        <c:ser>
          <c:idx val="0"/>
          <c:order val="0"/>
          <c:tx>
            <c:strRef>
              <c:f>'Tab 8'!$B$44</c:f>
              <c:strCache>
                <c:ptCount val="1"/>
                <c:pt idx="0">
                  <c:v>Cost of Living (no rent)</c:v>
                </c:pt>
              </c:strCache>
            </c:strRef>
          </c:tx>
          <c:spPr>
            <a:ln w="50800" cap="rnd">
              <a:solidFill>
                <a:schemeClr val="accent1"/>
              </a:solidFill>
              <a:round/>
            </a:ln>
            <a:effectLst/>
          </c:spPr>
          <c:marker>
            <c:symbol val="none"/>
          </c:marker>
          <c:cat>
            <c:numRef>
              <c:f>'Tab 8'!$A$45:$A$54</c:f>
              <c:numCache>
                <c:formatCode>d\-mmm</c:formatCode>
                <c:ptCount val="10"/>
                <c:pt idx="0" formatCode="m/d/yyyy">
                  <c:v>16619</c:v>
                </c:pt>
                <c:pt idx="1">
                  <c:v>16711</c:v>
                </c:pt>
                <c:pt idx="2">
                  <c:v>16742</c:v>
                </c:pt>
                <c:pt idx="3">
                  <c:v>16772</c:v>
                </c:pt>
                <c:pt idx="4" formatCode="m/d/yyyy">
                  <c:v>16803</c:v>
                </c:pt>
                <c:pt idx="5">
                  <c:v>16834</c:v>
                </c:pt>
                <c:pt idx="6">
                  <c:v>16862</c:v>
                </c:pt>
                <c:pt idx="7">
                  <c:v>16893</c:v>
                </c:pt>
                <c:pt idx="8">
                  <c:v>16923</c:v>
                </c:pt>
                <c:pt idx="9">
                  <c:v>16954</c:v>
                </c:pt>
              </c:numCache>
            </c:numRef>
          </c:cat>
          <c:val>
            <c:numRef>
              <c:f>'Tab 8'!$B$45:$B$54</c:f>
              <c:numCache>
                <c:formatCode>#,##0.00</c:formatCode>
                <c:ptCount val="10"/>
                <c:pt idx="0">
                  <c:v>100</c:v>
                </c:pt>
                <c:pt idx="1">
                  <c:v>390</c:v>
                </c:pt>
                <c:pt idx="2">
                  <c:v>2658</c:v>
                </c:pt>
                <c:pt idx="3">
                  <c:v>14484</c:v>
                </c:pt>
                <c:pt idx="4">
                  <c:v>34000</c:v>
                </c:pt>
                <c:pt idx="5">
                  <c:v>70000</c:v>
                </c:pt>
                <c:pt idx="6">
                  <c:v>445000</c:v>
                </c:pt>
                <c:pt idx="7">
                  <c:v>2000000</c:v>
                </c:pt>
                <c:pt idx="8">
                  <c:v>35000000</c:v>
                </c:pt>
                <c:pt idx="9">
                  <c:v>14000000000</c:v>
                </c:pt>
              </c:numCache>
            </c:numRef>
          </c:val>
          <c:smooth val="0"/>
          <c:extLst xmlns:c16r2="http://schemas.microsoft.com/office/drawing/2015/06/chart">
            <c:ext xmlns:c16="http://schemas.microsoft.com/office/drawing/2014/chart" uri="{C3380CC4-5D6E-409C-BE32-E72D297353CC}">
              <c16:uniqueId val="{00000000-7BFE-493D-B638-222C15C13446}"/>
            </c:ext>
          </c:extLst>
        </c:ser>
        <c:ser>
          <c:idx val="1"/>
          <c:order val="1"/>
          <c:tx>
            <c:strRef>
              <c:f>'Tab 8'!$C$44</c:f>
              <c:strCache>
                <c:ptCount val="1"/>
                <c:pt idx="0">
                  <c:v>Wheat</c:v>
                </c:pt>
              </c:strCache>
            </c:strRef>
          </c:tx>
          <c:spPr>
            <a:ln w="63500" cap="rnd">
              <a:solidFill>
                <a:schemeClr val="accent2"/>
              </a:solidFill>
              <a:prstDash val="sysDot"/>
              <a:round/>
            </a:ln>
            <a:effectLst/>
          </c:spPr>
          <c:marker>
            <c:symbol val="none"/>
          </c:marker>
          <c:cat>
            <c:numRef>
              <c:f>'Tab 8'!$A$45:$A$54</c:f>
              <c:numCache>
                <c:formatCode>d\-mmm</c:formatCode>
                <c:ptCount val="10"/>
                <c:pt idx="0" formatCode="m/d/yyyy">
                  <c:v>16619</c:v>
                </c:pt>
                <c:pt idx="1">
                  <c:v>16711</c:v>
                </c:pt>
                <c:pt idx="2">
                  <c:v>16742</c:v>
                </c:pt>
                <c:pt idx="3">
                  <c:v>16772</c:v>
                </c:pt>
                <c:pt idx="4" formatCode="m/d/yyyy">
                  <c:v>16803</c:v>
                </c:pt>
                <c:pt idx="5">
                  <c:v>16834</c:v>
                </c:pt>
                <c:pt idx="6">
                  <c:v>16862</c:v>
                </c:pt>
                <c:pt idx="7">
                  <c:v>16893</c:v>
                </c:pt>
                <c:pt idx="8">
                  <c:v>16923</c:v>
                </c:pt>
                <c:pt idx="9">
                  <c:v>16954</c:v>
                </c:pt>
              </c:numCache>
            </c:numRef>
          </c:cat>
          <c:val>
            <c:numRef>
              <c:f>'Tab 8'!$C$45:$C$54</c:f>
              <c:numCache>
                <c:formatCode>#,##0.00</c:formatCode>
                <c:ptCount val="10"/>
                <c:pt idx="0">
                  <c:v>100</c:v>
                </c:pt>
                <c:pt idx="1">
                  <c:v>102</c:v>
                </c:pt>
                <c:pt idx="2">
                  <c:v>103</c:v>
                </c:pt>
                <c:pt idx="3">
                  <c:v>105</c:v>
                </c:pt>
                <c:pt idx="4">
                  <c:v>106000</c:v>
                </c:pt>
                <c:pt idx="5">
                  <c:v>108000</c:v>
                </c:pt>
                <c:pt idx="6">
                  <c:v>109000</c:v>
                </c:pt>
                <c:pt idx="7">
                  <c:v>110000000</c:v>
                </c:pt>
                <c:pt idx="8">
                  <c:v>112000000</c:v>
                </c:pt>
                <c:pt idx="9">
                  <c:v>7000000000</c:v>
                </c:pt>
              </c:numCache>
            </c:numRef>
          </c:val>
          <c:smooth val="0"/>
          <c:extLst xmlns:c16r2="http://schemas.microsoft.com/office/drawing/2015/06/chart">
            <c:ext xmlns:c16="http://schemas.microsoft.com/office/drawing/2014/chart" uri="{C3380CC4-5D6E-409C-BE32-E72D297353CC}">
              <c16:uniqueId val="{00000001-7BFE-493D-B638-222C15C13446}"/>
            </c:ext>
          </c:extLst>
        </c:ser>
        <c:ser>
          <c:idx val="2"/>
          <c:order val="2"/>
          <c:tx>
            <c:strRef>
              <c:f>'Tab 8'!$D$44</c:f>
              <c:strCache>
                <c:ptCount val="1"/>
                <c:pt idx="0">
                  <c:v>Coal</c:v>
                </c:pt>
              </c:strCache>
            </c:strRef>
          </c:tx>
          <c:spPr>
            <a:ln w="50800" cap="rnd">
              <a:solidFill>
                <a:schemeClr val="accent3"/>
              </a:solidFill>
              <a:prstDash val="sysDash"/>
              <a:round/>
            </a:ln>
            <a:effectLst/>
          </c:spPr>
          <c:marker>
            <c:symbol val="none"/>
          </c:marker>
          <c:cat>
            <c:numRef>
              <c:f>'Tab 8'!$A$45:$A$54</c:f>
              <c:numCache>
                <c:formatCode>d\-mmm</c:formatCode>
                <c:ptCount val="10"/>
                <c:pt idx="0" formatCode="m/d/yyyy">
                  <c:v>16619</c:v>
                </c:pt>
                <c:pt idx="1">
                  <c:v>16711</c:v>
                </c:pt>
                <c:pt idx="2">
                  <c:v>16742</c:v>
                </c:pt>
                <c:pt idx="3">
                  <c:v>16772</c:v>
                </c:pt>
                <c:pt idx="4" formatCode="m/d/yyyy">
                  <c:v>16803</c:v>
                </c:pt>
                <c:pt idx="5">
                  <c:v>16834</c:v>
                </c:pt>
                <c:pt idx="6">
                  <c:v>16862</c:v>
                </c:pt>
                <c:pt idx="7">
                  <c:v>16893</c:v>
                </c:pt>
                <c:pt idx="8">
                  <c:v>16923</c:v>
                </c:pt>
                <c:pt idx="9">
                  <c:v>16954</c:v>
                </c:pt>
              </c:numCache>
            </c:numRef>
          </c:cat>
          <c:val>
            <c:numRef>
              <c:f>'Tab 8'!$D$45:$D$54</c:f>
              <c:numCache>
                <c:formatCode>#,##0.00</c:formatCode>
                <c:ptCount val="10"/>
                <c:pt idx="0">
                  <c:v>100</c:v>
                </c:pt>
                <c:pt idx="1">
                  <c:v>100</c:v>
                </c:pt>
                <c:pt idx="2">
                  <c:v>2143</c:v>
                </c:pt>
                <c:pt idx="3">
                  <c:v>4286</c:v>
                </c:pt>
                <c:pt idx="4">
                  <c:v>6000</c:v>
                </c:pt>
                <c:pt idx="5">
                  <c:v>71000</c:v>
                </c:pt>
                <c:pt idx="6">
                  <c:v>285000</c:v>
                </c:pt>
                <c:pt idx="7">
                  <c:v>1000000</c:v>
                </c:pt>
                <c:pt idx="8">
                  <c:v>24000000</c:v>
                </c:pt>
                <c:pt idx="9">
                  <c:v>5000000000</c:v>
                </c:pt>
              </c:numCache>
            </c:numRef>
          </c:val>
          <c:smooth val="0"/>
          <c:extLst xmlns:c16r2="http://schemas.microsoft.com/office/drawing/2015/06/chart">
            <c:ext xmlns:c16="http://schemas.microsoft.com/office/drawing/2014/chart" uri="{C3380CC4-5D6E-409C-BE32-E72D297353CC}">
              <c16:uniqueId val="{00000002-7BFE-493D-B638-222C15C13446}"/>
            </c:ext>
          </c:extLst>
        </c:ser>
        <c:dLbls>
          <c:showLegendKey val="0"/>
          <c:showVal val="0"/>
          <c:showCatName val="0"/>
          <c:showSerName val="0"/>
          <c:showPercent val="0"/>
          <c:showBubbleSize val="0"/>
        </c:dLbls>
        <c:smooth val="0"/>
        <c:axId val="869836352"/>
        <c:axId val="869831456"/>
      </c:lineChart>
      <c:dateAx>
        <c:axId val="869836352"/>
        <c:scaling>
          <c:orientation val="minMax"/>
        </c:scaling>
        <c:delete val="0"/>
        <c:axPos val="b"/>
        <c:numFmt formatCode="[$-409]d\-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69831456"/>
        <c:crosses val="autoZero"/>
        <c:auto val="1"/>
        <c:lblOffset val="100"/>
        <c:baseTimeUnit val="months"/>
        <c:majorUnit val="2"/>
        <c:minorUnit val="2"/>
      </c:dateAx>
      <c:valAx>
        <c:axId val="869831456"/>
        <c:scaling>
          <c:logBase val="10"/>
          <c:orientation val="minMax"/>
          <c:min val="100"/>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69836352"/>
        <c:crosses val="autoZero"/>
        <c:crossBetween val="midCat"/>
      </c:valAx>
      <c:spPr>
        <a:noFill/>
        <a:ln>
          <a:noFill/>
        </a:ln>
        <a:effectLst/>
      </c:spPr>
    </c:plotArea>
    <c:legend>
      <c:legendPos val="b"/>
      <c:layout>
        <c:manualLayout>
          <c:xMode val="edge"/>
          <c:yMode val="edge"/>
          <c:x val="0.27708787693873299"/>
          <c:y val="0.21484278822398681"/>
          <c:w val="0.43606874509536425"/>
          <c:h val="0.17621345828028048"/>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solidFill>
                <a:latin typeface="+mn-lt"/>
                <a:ea typeface="+mn-ea"/>
                <a:cs typeface="+mn-cs"/>
              </a:defRPr>
            </a:pPr>
            <a:r>
              <a:rPr lang="en-US" sz="2000" b="1">
                <a:solidFill>
                  <a:schemeClr val="tx1"/>
                </a:solidFill>
              </a:rPr>
              <a:t>Log Scale</a:t>
            </a:r>
            <a:r>
              <a:rPr lang="en-US" sz="2000" b="1" baseline="0">
                <a:solidFill>
                  <a:schemeClr val="tx1"/>
                </a:solidFill>
              </a:rPr>
              <a:t> - Crude Oil Prices (Pengo per Ton of 7.7 bbl)</a:t>
            </a:r>
            <a:endParaRPr lang="en-US" sz="2000" b="1">
              <a:solidFill>
                <a:schemeClr val="tx1"/>
              </a:solidFill>
            </a:endParaRP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3998374212162948"/>
          <c:y val="7.3103703235188708E-2"/>
          <c:w val="0.84263354236971566"/>
          <c:h val="0.64789651200931975"/>
        </c:manualLayout>
      </c:layout>
      <c:lineChart>
        <c:grouping val="standard"/>
        <c:varyColors val="0"/>
        <c:ser>
          <c:idx val="0"/>
          <c:order val="0"/>
          <c:spPr>
            <a:ln w="28575" cap="rnd">
              <a:solidFill>
                <a:schemeClr val="accent1"/>
              </a:solidFill>
              <a:round/>
            </a:ln>
            <a:effectLst/>
          </c:spPr>
          <c:marker>
            <c:symbol val="none"/>
          </c:marker>
          <c:cat>
            <c:strRef>
              <c:f>('Tab 8'!$H$23:$H$28,'Tab 8'!$H$30:$H$42,'Tab 8'!$H$43:$H$52)</c:f>
              <c:strCache>
                <c:ptCount val="29"/>
                <c:pt idx="0">
                  <c:v>Apr. 17-May 22, 1945</c:v>
                </c:pt>
                <c:pt idx="1">
                  <c:v>May 23-June 13</c:v>
                </c:pt>
                <c:pt idx="2">
                  <c:v>June 14-Oct. 27</c:v>
                </c:pt>
                <c:pt idx="3">
                  <c:v>Oct. 28-Nov. 19</c:v>
                </c:pt>
                <c:pt idx="4">
                  <c:v>Nov. 20-Dec. 12</c:v>
                </c:pt>
                <c:pt idx="5">
                  <c:v>Dec. 14-Dec. 31</c:v>
                </c:pt>
                <c:pt idx="6">
                  <c:v>Jan. 1-21, 1946</c:v>
                </c:pt>
                <c:pt idx="7">
                  <c:v>Jan. 22-Feb. 10</c:v>
                </c:pt>
                <c:pt idx="8">
                  <c:v>Feb. 11-24</c:v>
                </c:pt>
                <c:pt idx="9">
                  <c:v>Feb. 25-Mar. 12</c:v>
                </c:pt>
                <c:pt idx="10">
                  <c:v>Mar. 13-27</c:v>
                </c:pt>
                <c:pt idx="11">
                  <c:v>Mar. 28-Apr. 9</c:v>
                </c:pt>
                <c:pt idx="12">
                  <c:v>Apr. 10-17</c:v>
                </c:pt>
                <c:pt idx="13">
                  <c:v>Apr. 18-May 5</c:v>
                </c:pt>
                <c:pt idx="14">
                  <c:v>May 6-10</c:v>
                </c:pt>
                <c:pt idx="15">
                  <c:v>May 11-17</c:v>
                </c:pt>
                <c:pt idx="16">
                  <c:v>May 18-22</c:v>
                </c:pt>
                <c:pt idx="17">
                  <c:v>May 23-30</c:v>
                </c:pt>
                <c:pt idx="18">
                  <c:v>June 1-2</c:v>
                </c:pt>
                <c:pt idx="19">
                  <c:v>3-Jun</c:v>
                </c:pt>
                <c:pt idx="20">
                  <c:v>12-Jun</c:v>
                </c:pt>
                <c:pt idx="21">
                  <c:v>20-Jun</c:v>
                </c:pt>
                <c:pt idx="22">
                  <c:v>27-Jun</c:v>
                </c:pt>
                <c:pt idx="23">
                  <c:v>2-Jul</c:v>
                </c:pt>
                <c:pt idx="24">
                  <c:v>9-Jul</c:v>
                </c:pt>
                <c:pt idx="25">
                  <c:v>15-Jul</c:v>
                </c:pt>
                <c:pt idx="26">
                  <c:v>19-Jul</c:v>
                </c:pt>
                <c:pt idx="27">
                  <c:v>30-Jul</c:v>
                </c:pt>
                <c:pt idx="28">
                  <c:v>Final price before conversion</c:v>
                </c:pt>
              </c:strCache>
            </c:strRef>
          </c:cat>
          <c:val>
            <c:numRef>
              <c:f>('Tab 8'!$I$23:$I$28,'Tab 8'!$I$30:$I$42,'Tab 8'!$I$43:$I$52)</c:f>
              <c:numCache>
                <c:formatCode>General</c:formatCode>
                <c:ptCount val="29"/>
                <c:pt idx="0">
                  <c:v>600</c:v>
                </c:pt>
                <c:pt idx="1">
                  <c:v>866</c:v>
                </c:pt>
                <c:pt idx="2">
                  <c:v>1100</c:v>
                </c:pt>
                <c:pt idx="3">
                  <c:v>12100</c:v>
                </c:pt>
                <c:pt idx="4">
                  <c:v>71500</c:v>
                </c:pt>
                <c:pt idx="5">
                  <c:v>143000</c:v>
                </c:pt>
                <c:pt idx="6">
                  <c:v>143000</c:v>
                </c:pt>
                <c:pt idx="7">
                  <c:v>280000</c:v>
                </c:pt>
                <c:pt idx="8">
                  <c:v>2000000</c:v>
                </c:pt>
                <c:pt idx="9">
                  <c:v>9000000</c:v>
                </c:pt>
                <c:pt idx="10">
                  <c:v>25000000</c:v>
                </c:pt>
                <c:pt idx="11">
                  <c:v>68750000</c:v>
                </c:pt>
                <c:pt idx="12">
                  <c:v>246000000</c:v>
                </c:pt>
                <c:pt idx="13">
                  <c:v>450000000</c:v>
                </c:pt>
                <c:pt idx="14">
                  <c:v>900000000</c:v>
                </c:pt>
                <c:pt idx="15">
                  <c:v>2700000000</c:v>
                </c:pt>
                <c:pt idx="16">
                  <c:v>8000000000</c:v>
                </c:pt>
                <c:pt idx="17">
                  <c:v>32400000000</c:v>
                </c:pt>
                <c:pt idx="18">
                  <c:v>311000000000</c:v>
                </c:pt>
                <c:pt idx="19">
                  <c:v>570000000000</c:v>
                </c:pt>
                <c:pt idx="20">
                  <c:v>6686000000000</c:v>
                </c:pt>
                <c:pt idx="21">
                  <c:v>100980000000000</c:v>
                </c:pt>
                <c:pt idx="22">
                  <c:v>1.2E+16</c:v>
                </c:pt>
                <c:pt idx="23">
                  <c:v>1.08E+17</c:v>
                </c:pt>
                <c:pt idx="24">
                  <c:v>2E+20</c:v>
                </c:pt>
                <c:pt idx="25">
                  <c:v>2.1600000000000002E+23</c:v>
                </c:pt>
                <c:pt idx="26">
                  <c:v>3.5200000000000001E+24</c:v>
                </c:pt>
                <c:pt idx="27">
                  <c:v>4.4999999999999996E+31</c:v>
                </c:pt>
                <c:pt idx="28">
                  <c:v>4.5540000000000001E+31</c:v>
                </c:pt>
              </c:numCache>
            </c:numRef>
          </c:val>
          <c:smooth val="0"/>
          <c:extLst xmlns:c16r2="http://schemas.microsoft.com/office/drawing/2015/06/chart">
            <c:ext xmlns:c16="http://schemas.microsoft.com/office/drawing/2014/chart" uri="{C3380CC4-5D6E-409C-BE32-E72D297353CC}">
              <c16:uniqueId val="{00000000-3C45-48A8-AC66-53BEE0142A0A}"/>
            </c:ext>
          </c:extLst>
        </c:ser>
        <c:dLbls>
          <c:showLegendKey val="0"/>
          <c:showVal val="0"/>
          <c:showCatName val="0"/>
          <c:showSerName val="0"/>
          <c:showPercent val="0"/>
          <c:showBubbleSize val="0"/>
        </c:dLbls>
        <c:smooth val="0"/>
        <c:axId val="869832000"/>
        <c:axId val="869826016"/>
      </c:lineChart>
      <c:catAx>
        <c:axId val="869832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69826016"/>
        <c:crosses val="autoZero"/>
        <c:auto val="1"/>
        <c:lblAlgn val="ctr"/>
        <c:lblOffset val="100"/>
        <c:tickLblSkip val="4"/>
        <c:tickMarkSkip val="4"/>
        <c:noMultiLvlLbl val="0"/>
      </c:catAx>
      <c:valAx>
        <c:axId val="869826016"/>
        <c:scaling>
          <c:logBase val="10"/>
          <c:orientation val="minMax"/>
          <c:min val="100"/>
        </c:scaling>
        <c:delete val="0"/>
        <c:axPos val="l"/>
        <c:majorGridlines>
          <c:spPr>
            <a:l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69832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ysClr val="windowText" lastClr="000000"/>
                </a:solidFill>
                <a:latin typeface="+mn-lt"/>
                <a:ea typeface="+mn-ea"/>
                <a:cs typeface="+mn-cs"/>
              </a:defRPr>
            </a:pPr>
            <a:r>
              <a:rPr lang="en-US" sz="1600" b="1">
                <a:solidFill>
                  <a:sysClr val="windowText" lastClr="000000"/>
                </a:solidFill>
              </a:rPr>
              <a:t>Chart 2:</a:t>
            </a:r>
            <a:r>
              <a:rPr lang="en-US" sz="1600" b="1" baseline="0">
                <a:solidFill>
                  <a:sysClr val="windowText" lastClr="000000"/>
                </a:solidFill>
              </a:rPr>
              <a:t> </a:t>
            </a:r>
            <a:r>
              <a:rPr lang="en-US" sz="1600" b="1">
                <a:solidFill>
                  <a:sysClr val="windowText" lastClr="000000"/>
                </a:solidFill>
              </a:rPr>
              <a:t>Hungarian National</a:t>
            </a:r>
            <a:r>
              <a:rPr lang="en-US" sz="1600" b="1" baseline="0">
                <a:solidFill>
                  <a:sysClr val="windowText" lastClr="000000"/>
                </a:solidFill>
              </a:rPr>
              <a:t> Income, 1945/1946 </a:t>
            </a:r>
          </a:p>
          <a:p>
            <a:pPr>
              <a:defRPr sz="1600" b="1">
                <a:solidFill>
                  <a:sysClr val="windowText" lastClr="000000"/>
                </a:solidFill>
              </a:defRPr>
            </a:pPr>
            <a:r>
              <a:rPr lang="en-US" sz="1600" b="1" baseline="0">
                <a:solidFill>
                  <a:sysClr val="windowText" lastClr="000000"/>
                </a:solidFill>
              </a:rPr>
              <a:t>(as % of 1938/1939)</a:t>
            </a:r>
            <a:endParaRPr lang="en-US" sz="1600" b="1">
              <a:solidFill>
                <a:sysClr val="windowText" lastClr="000000"/>
              </a:solidFill>
            </a:endParaRPr>
          </a:p>
        </c:rich>
      </c:tx>
      <c:layout>
        <c:manualLayout>
          <c:xMode val="edge"/>
          <c:yMode val="edge"/>
          <c:x val="9.6876334294562105E-2"/>
          <c:y val="3.0430461919888257E-3"/>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'Tab 9'!$D$131</c:f>
              <c:strCache>
                <c:ptCount val="1"/>
                <c:pt idx="0">
                  <c:v>1945/1946</c:v>
                </c:pt>
              </c:strCache>
            </c:strRef>
          </c:tx>
          <c:spPr>
            <a:solidFill>
              <a:schemeClr val="accent1"/>
            </a:solidFill>
            <a:ln>
              <a:noFill/>
            </a:ln>
            <a:effectLst/>
          </c:spPr>
          <c:invertIfNegative val="0"/>
          <c:cat>
            <c:strRef>
              <c:f>'Tab 9'!$A$132:$A$140</c:f>
              <c:strCache>
                <c:ptCount val="9"/>
                <c:pt idx="0">
                  <c:v>Total National Income</c:v>
                </c:pt>
                <c:pt idx="1">
                  <c:v>Agriculture</c:v>
                </c:pt>
                <c:pt idx="2">
                  <c:v>Mining</c:v>
                </c:pt>
                <c:pt idx="3">
                  <c:v>Manufacturing Industry</c:v>
                </c:pt>
                <c:pt idx="4">
                  <c:v>Handicrafts</c:v>
                </c:pt>
                <c:pt idx="5">
                  <c:v>Commerce</c:v>
                </c:pt>
                <c:pt idx="6">
                  <c:v>Rental Value of Dwellings</c:v>
                </c:pt>
                <c:pt idx="7">
                  <c:v>Other Items</c:v>
                </c:pt>
                <c:pt idx="8">
                  <c:v>Material Goods Procution</c:v>
                </c:pt>
              </c:strCache>
            </c:strRef>
          </c:cat>
          <c:val>
            <c:numRef>
              <c:f>'Tab 9'!$D$132:$D$140</c:f>
              <c:numCache>
                <c:formatCode>General</c:formatCode>
                <c:ptCount val="9"/>
                <c:pt idx="0">
                  <c:v>48.9</c:v>
                </c:pt>
                <c:pt idx="1">
                  <c:v>43.3</c:v>
                </c:pt>
                <c:pt idx="2">
                  <c:v>49.1</c:v>
                </c:pt>
                <c:pt idx="3">
                  <c:v>40</c:v>
                </c:pt>
                <c:pt idx="4">
                  <c:v>60</c:v>
                </c:pt>
                <c:pt idx="5">
                  <c:v>40</c:v>
                </c:pt>
                <c:pt idx="6">
                  <c:v>90</c:v>
                </c:pt>
                <c:pt idx="7">
                  <c:v>48.9</c:v>
                </c:pt>
                <c:pt idx="8">
                  <c:v>45</c:v>
                </c:pt>
              </c:numCache>
            </c:numRef>
          </c:val>
          <c:extLst xmlns:c16r2="http://schemas.microsoft.com/office/drawing/2015/06/chart">
            <c:ext xmlns:c16="http://schemas.microsoft.com/office/drawing/2014/chart" uri="{C3380CC4-5D6E-409C-BE32-E72D297353CC}">
              <c16:uniqueId val="{00000000-1B66-4D1A-933C-8FA6B3F5D5AF}"/>
            </c:ext>
          </c:extLst>
        </c:ser>
        <c:dLbls>
          <c:showLegendKey val="0"/>
          <c:showVal val="0"/>
          <c:showCatName val="0"/>
          <c:showSerName val="0"/>
          <c:showPercent val="0"/>
          <c:showBubbleSize val="0"/>
        </c:dLbls>
        <c:gapWidth val="150"/>
        <c:axId val="869841248"/>
        <c:axId val="869835264"/>
      </c:barChart>
      <c:catAx>
        <c:axId val="869841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869835264"/>
        <c:crosses val="autoZero"/>
        <c:auto val="1"/>
        <c:lblAlgn val="ctr"/>
        <c:lblOffset val="100"/>
        <c:noMultiLvlLbl val="0"/>
      </c:catAx>
      <c:valAx>
        <c:axId val="869835264"/>
        <c:scaling>
          <c:orientation val="minMax"/>
          <c:max val="100"/>
          <c:min val="0"/>
        </c:scaling>
        <c:delete val="0"/>
        <c:axPos val="l"/>
        <c:majorGridlines>
          <c:spPr>
            <a:ln w="9525" cap="flat" cmpd="sng" algn="ctr">
              <a:solidFill>
                <a:schemeClr val="tx1">
                  <a:lumMod val="15000"/>
                  <a:lumOff val="8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8698412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ysClr val="windowText" lastClr="000000"/>
                </a:solidFill>
                <a:latin typeface="+mn-lt"/>
                <a:ea typeface="+mn-ea"/>
                <a:cs typeface="+mn-cs"/>
              </a:defRPr>
            </a:pPr>
            <a:r>
              <a:rPr lang="en-US" sz="1600" b="1">
                <a:solidFill>
                  <a:sysClr val="windowText" lastClr="000000"/>
                </a:solidFill>
              </a:rPr>
              <a:t>Chart 1: Losses</a:t>
            </a:r>
            <a:r>
              <a:rPr lang="en-US" sz="1600" b="1" baseline="0">
                <a:solidFill>
                  <a:sysClr val="windowText" lastClr="000000"/>
                </a:solidFill>
              </a:rPr>
              <a:t> from WWII (% of National Wealth)</a:t>
            </a:r>
            <a:endParaRPr lang="en-US" sz="1600" b="1">
              <a:solidFill>
                <a:sysClr val="windowText" lastClr="000000"/>
              </a:solidFill>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'Tab 9'!$A$95:$A$102</c:f>
              <c:strCache>
                <c:ptCount val="8"/>
                <c:pt idx="0">
                  <c:v>Total National Wealth</c:v>
                </c:pt>
                <c:pt idx="1">
                  <c:v>Agriculture</c:v>
                </c:pt>
                <c:pt idx="2">
                  <c:v>Livestock from agriculture</c:v>
                </c:pt>
                <c:pt idx="3">
                  <c:v>Mining and Smelting</c:v>
                </c:pt>
                <c:pt idx="4">
                  <c:v>Manufacturing Industry</c:v>
                </c:pt>
                <c:pt idx="5">
                  <c:v>Communications</c:v>
                </c:pt>
                <c:pt idx="6">
                  <c:v>Dwelling houses</c:v>
                </c:pt>
                <c:pt idx="7">
                  <c:v>Other</c:v>
                </c:pt>
              </c:strCache>
            </c:strRef>
          </c:cat>
          <c:val>
            <c:numRef>
              <c:f>'Tab 9'!$D$95:$D$102</c:f>
              <c:numCache>
                <c:formatCode>0.00</c:formatCode>
                <c:ptCount val="8"/>
                <c:pt idx="0">
                  <c:v>40.200000000000003</c:v>
                </c:pt>
                <c:pt idx="1">
                  <c:v>21.4</c:v>
                </c:pt>
                <c:pt idx="2">
                  <c:v>99</c:v>
                </c:pt>
                <c:pt idx="3">
                  <c:v>3.5999999999999996</c:v>
                </c:pt>
                <c:pt idx="4">
                  <c:v>54.1</c:v>
                </c:pt>
                <c:pt idx="5">
                  <c:v>59</c:v>
                </c:pt>
                <c:pt idx="6" formatCode="General">
                  <c:v>18</c:v>
                </c:pt>
                <c:pt idx="7" formatCode="General">
                  <c:v>69.49208011519832</c:v>
                </c:pt>
              </c:numCache>
            </c:numRef>
          </c:val>
          <c:extLst xmlns:c16r2="http://schemas.microsoft.com/office/drawing/2015/06/chart">
            <c:ext xmlns:c16="http://schemas.microsoft.com/office/drawing/2014/chart" uri="{C3380CC4-5D6E-409C-BE32-E72D297353CC}">
              <c16:uniqueId val="{00000000-CDD5-4F7C-9774-457D69DECA6D}"/>
            </c:ext>
          </c:extLst>
        </c:ser>
        <c:dLbls>
          <c:showLegendKey val="0"/>
          <c:showVal val="0"/>
          <c:showCatName val="0"/>
          <c:showSerName val="0"/>
          <c:showPercent val="0"/>
          <c:showBubbleSize val="0"/>
        </c:dLbls>
        <c:gapWidth val="219"/>
        <c:overlap val="-27"/>
        <c:axId val="869833088"/>
        <c:axId val="869832544"/>
      </c:barChart>
      <c:catAx>
        <c:axId val="869833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869832544"/>
        <c:crosses val="autoZero"/>
        <c:auto val="1"/>
        <c:lblAlgn val="ctr"/>
        <c:lblOffset val="100"/>
        <c:noMultiLvlLbl val="0"/>
      </c:catAx>
      <c:valAx>
        <c:axId val="869832544"/>
        <c:scaling>
          <c:orientation val="minMax"/>
          <c:max val="100"/>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8698330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r>
              <a:rPr lang="en-US" sz="1800" b="1" i="0" baseline="0">
                <a:solidFill>
                  <a:sysClr val="windowText" lastClr="000000"/>
                </a:solidFill>
                <a:effectLst/>
              </a:rPr>
              <a:t>Chart 5: Yield of Most Important Agricultural Products in Hungary (% of 1938 Levels)</a:t>
            </a:r>
            <a:endParaRPr lang="en-US" sz="1800" b="1">
              <a:solidFill>
                <a:sysClr val="windowText" lastClr="000000"/>
              </a:solidFill>
              <a:effectLst/>
            </a:endParaRPr>
          </a:p>
        </c:rich>
      </c:tx>
      <c:layout>
        <c:manualLayout>
          <c:xMode val="edge"/>
          <c:yMode val="edge"/>
          <c:x val="0.12473156553555413"/>
          <c:y val="1.435624698060361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200060109263703"/>
          <c:y val="0.25539054415257922"/>
          <c:w val="0.86870127237202777"/>
          <c:h val="0.46563381067399728"/>
        </c:manualLayout>
      </c:layout>
      <c:barChart>
        <c:barDir val="col"/>
        <c:grouping val="clustered"/>
        <c:varyColors val="0"/>
        <c:ser>
          <c:idx val="0"/>
          <c:order val="0"/>
          <c:tx>
            <c:strRef>
              <c:f>'Tab 9'!$C$18</c:f>
              <c:strCache>
                <c:ptCount val="1"/>
                <c:pt idx="0">
                  <c:v>1945</c:v>
                </c:pt>
              </c:strCache>
            </c:strRef>
          </c:tx>
          <c:spPr>
            <a:solidFill>
              <a:schemeClr val="accent1"/>
            </a:solidFill>
            <a:ln>
              <a:noFill/>
            </a:ln>
            <a:effectLst/>
          </c:spPr>
          <c:invertIfNegative val="0"/>
          <c:cat>
            <c:strRef>
              <c:f>'Tab 9'!$A$19:$A$25</c:f>
              <c:strCache>
                <c:ptCount val="7"/>
                <c:pt idx="0">
                  <c:v>Wheat</c:v>
                </c:pt>
                <c:pt idx="1">
                  <c:v>Rye</c:v>
                </c:pt>
                <c:pt idx="2">
                  <c:v>Barley</c:v>
                </c:pt>
                <c:pt idx="3">
                  <c:v>Oats</c:v>
                </c:pt>
                <c:pt idx="4">
                  <c:v>Maize</c:v>
                </c:pt>
                <c:pt idx="5">
                  <c:v>Potatoes</c:v>
                </c:pt>
                <c:pt idx="6">
                  <c:v>Sugarbeet</c:v>
                </c:pt>
              </c:strCache>
            </c:strRef>
          </c:cat>
          <c:val>
            <c:numRef>
              <c:f>'Tab 9'!$C$19:$C$25</c:f>
              <c:numCache>
                <c:formatCode>General</c:formatCode>
                <c:ptCount val="7"/>
                <c:pt idx="0">
                  <c:v>24</c:v>
                </c:pt>
                <c:pt idx="1">
                  <c:v>43</c:v>
                </c:pt>
                <c:pt idx="2">
                  <c:v>70</c:v>
                </c:pt>
                <c:pt idx="3">
                  <c:v>60</c:v>
                </c:pt>
                <c:pt idx="4">
                  <c:v>86</c:v>
                </c:pt>
                <c:pt idx="5">
                  <c:v>85</c:v>
                </c:pt>
                <c:pt idx="6">
                  <c:v>18</c:v>
                </c:pt>
              </c:numCache>
            </c:numRef>
          </c:val>
          <c:extLst xmlns:c16r2="http://schemas.microsoft.com/office/drawing/2015/06/chart">
            <c:ext xmlns:c16="http://schemas.microsoft.com/office/drawing/2014/chart" uri="{C3380CC4-5D6E-409C-BE32-E72D297353CC}">
              <c16:uniqueId val="{00000000-7D27-42E2-8355-C97CEEA349CC}"/>
            </c:ext>
          </c:extLst>
        </c:ser>
        <c:ser>
          <c:idx val="1"/>
          <c:order val="1"/>
          <c:tx>
            <c:strRef>
              <c:f>'Tab 9'!$D$18</c:f>
              <c:strCache>
                <c:ptCount val="1"/>
                <c:pt idx="0">
                  <c:v>1946</c:v>
                </c:pt>
              </c:strCache>
            </c:strRef>
          </c:tx>
          <c:spPr>
            <a:solidFill>
              <a:schemeClr val="accent2"/>
            </a:solidFill>
            <a:ln>
              <a:noFill/>
            </a:ln>
            <a:effectLst/>
          </c:spPr>
          <c:invertIfNegative val="0"/>
          <c:cat>
            <c:strRef>
              <c:f>'Tab 9'!$A$19:$A$25</c:f>
              <c:strCache>
                <c:ptCount val="7"/>
                <c:pt idx="0">
                  <c:v>Wheat</c:v>
                </c:pt>
                <c:pt idx="1">
                  <c:v>Rye</c:v>
                </c:pt>
                <c:pt idx="2">
                  <c:v>Barley</c:v>
                </c:pt>
                <c:pt idx="3">
                  <c:v>Oats</c:v>
                </c:pt>
                <c:pt idx="4">
                  <c:v>Maize</c:v>
                </c:pt>
                <c:pt idx="5">
                  <c:v>Potatoes</c:v>
                </c:pt>
                <c:pt idx="6">
                  <c:v>Sugarbeet</c:v>
                </c:pt>
              </c:strCache>
            </c:strRef>
          </c:cat>
          <c:val>
            <c:numRef>
              <c:f>'Tab 9'!$D$19:$D$25</c:f>
              <c:numCache>
                <c:formatCode>General</c:formatCode>
                <c:ptCount val="7"/>
                <c:pt idx="0">
                  <c:v>42</c:v>
                </c:pt>
                <c:pt idx="1">
                  <c:v>59</c:v>
                </c:pt>
                <c:pt idx="2">
                  <c:v>70</c:v>
                </c:pt>
                <c:pt idx="3">
                  <c:v>69</c:v>
                </c:pt>
                <c:pt idx="4">
                  <c:v>62</c:v>
                </c:pt>
                <c:pt idx="5">
                  <c:v>57</c:v>
                </c:pt>
                <c:pt idx="6">
                  <c:v>53</c:v>
                </c:pt>
              </c:numCache>
            </c:numRef>
          </c:val>
          <c:extLst xmlns:c16r2="http://schemas.microsoft.com/office/drawing/2015/06/chart">
            <c:ext xmlns:c16="http://schemas.microsoft.com/office/drawing/2014/chart" uri="{C3380CC4-5D6E-409C-BE32-E72D297353CC}">
              <c16:uniqueId val="{00000001-7D27-42E2-8355-C97CEEA349CC}"/>
            </c:ext>
          </c:extLst>
        </c:ser>
        <c:dLbls>
          <c:showLegendKey val="0"/>
          <c:showVal val="0"/>
          <c:showCatName val="0"/>
          <c:showSerName val="0"/>
          <c:showPercent val="0"/>
          <c:showBubbleSize val="0"/>
        </c:dLbls>
        <c:gapWidth val="150"/>
        <c:axId val="869827648"/>
        <c:axId val="871035488"/>
      </c:barChart>
      <c:catAx>
        <c:axId val="869827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1035488"/>
        <c:crosses val="autoZero"/>
        <c:auto val="1"/>
        <c:lblAlgn val="ctr"/>
        <c:lblOffset val="100"/>
        <c:noMultiLvlLbl val="0"/>
      </c:catAx>
      <c:valAx>
        <c:axId val="871035488"/>
        <c:scaling>
          <c:orientation val="minMax"/>
        </c:scaling>
        <c:delete val="0"/>
        <c:axPos val="l"/>
        <c:majorGridlines>
          <c:spPr>
            <a:ln w="9525" cap="flat" cmpd="sng" algn="ctr">
              <a:noFill/>
              <a:round/>
            </a:ln>
            <a:effectLst/>
          </c:spPr>
        </c:majorGridlines>
        <c:numFmt formatCode="General" sourceLinked="1"/>
        <c:majorTickMark val="out"/>
        <c:minorTickMark val="none"/>
        <c:tickLblPos val="nextTo"/>
        <c:spPr>
          <a:noFill/>
          <a:ln>
            <a:solidFill>
              <a:schemeClr val="bg1">
                <a:lumMod val="65000"/>
              </a:schemeClr>
            </a:solidFill>
            <a:prstDash val="solid"/>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698276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400" b="0" i="0" u="none" strike="noStrike" kern="1200" baseline="0">
                <a:solidFill>
                  <a:schemeClr val="tx1"/>
                </a:solidFill>
                <a:latin typeface="+mn-lt"/>
                <a:ea typeface="+mn-ea"/>
                <a:cs typeface="+mn-cs"/>
              </a:defRPr>
            </a:pPr>
            <a:endParaRPr lang="en-US"/>
          </a:p>
        </c:txPr>
      </c:dTable>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r>
              <a:rPr lang="en-US" sz="1800" b="1">
                <a:solidFill>
                  <a:sysClr val="windowText" lastClr="000000"/>
                </a:solidFill>
              </a:rPr>
              <a:t>Chart 6: Livestock in Hungary (% of 1938)</a:t>
            </a:r>
          </a:p>
        </c:rich>
      </c:tx>
      <c:layout/>
      <c:overlay val="0"/>
      <c:spPr>
        <a:no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'Tab 9'!$C$39</c:f>
              <c:strCache>
                <c:ptCount val="1"/>
                <c:pt idx="0">
                  <c:v>1945</c:v>
                </c:pt>
              </c:strCache>
            </c:strRef>
          </c:tx>
          <c:spPr>
            <a:solidFill>
              <a:schemeClr val="accent1"/>
            </a:solidFill>
            <a:ln>
              <a:noFill/>
            </a:ln>
            <a:effectLst/>
          </c:spPr>
          <c:invertIfNegative val="0"/>
          <c:cat>
            <c:strRef>
              <c:f>'Tab 9'!$A$40:$A$43</c:f>
              <c:strCache>
                <c:ptCount val="4"/>
                <c:pt idx="0">
                  <c:v>Horses</c:v>
                </c:pt>
                <c:pt idx="1">
                  <c:v>Cattle and Buffalo</c:v>
                </c:pt>
                <c:pt idx="2">
                  <c:v>Pigs</c:v>
                </c:pt>
                <c:pt idx="3">
                  <c:v>Sheep</c:v>
                </c:pt>
              </c:strCache>
            </c:strRef>
          </c:cat>
          <c:val>
            <c:numRef>
              <c:f>'Tab 9'!$C$40:$C$43</c:f>
              <c:numCache>
                <c:formatCode>General</c:formatCode>
                <c:ptCount val="4"/>
                <c:pt idx="0">
                  <c:v>45</c:v>
                </c:pt>
                <c:pt idx="1">
                  <c:v>53</c:v>
                </c:pt>
                <c:pt idx="2">
                  <c:v>37</c:v>
                </c:pt>
                <c:pt idx="3">
                  <c:v>18</c:v>
                </c:pt>
              </c:numCache>
            </c:numRef>
          </c:val>
          <c:extLst xmlns:c16r2="http://schemas.microsoft.com/office/drawing/2015/06/chart">
            <c:ext xmlns:c16="http://schemas.microsoft.com/office/drawing/2014/chart" uri="{C3380CC4-5D6E-409C-BE32-E72D297353CC}">
              <c16:uniqueId val="{00000000-216C-4D45-AFB2-1487C8D0976B}"/>
            </c:ext>
          </c:extLst>
        </c:ser>
        <c:ser>
          <c:idx val="1"/>
          <c:order val="1"/>
          <c:tx>
            <c:strRef>
              <c:f>'Tab 9'!$D$39</c:f>
              <c:strCache>
                <c:ptCount val="1"/>
                <c:pt idx="0">
                  <c:v>1946</c:v>
                </c:pt>
              </c:strCache>
            </c:strRef>
          </c:tx>
          <c:spPr>
            <a:solidFill>
              <a:schemeClr val="accent2"/>
            </a:solidFill>
            <a:ln>
              <a:noFill/>
            </a:ln>
            <a:effectLst/>
          </c:spPr>
          <c:invertIfNegative val="0"/>
          <c:cat>
            <c:strRef>
              <c:f>'Tab 9'!$A$40:$A$43</c:f>
              <c:strCache>
                <c:ptCount val="4"/>
                <c:pt idx="0">
                  <c:v>Horses</c:v>
                </c:pt>
                <c:pt idx="1">
                  <c:v>Cattle and Buffalo</c:v>
                </c:pt>
                <c:pt idx="2">
                  <c:v>Pigs</c:v>
                </c:pt>
                <c:pt idx="3">
                  <c:v>Sheep</c:v>
                </c:pt>
              </c:strCache>
            </c:strRef>
          </c:cat>
          <c:val>
            <c:numRef>
              <c:f>'Tab 9'!$D$40:$D$43</c:f>
              <c:numCache>
                <c:formatCode>General</c:formatCode>
                <c:ptCount val="4"/>
                <c:pt idx="0">
                  <c:v>49</c:v>
                </c:pt>
                <c:pt idx="1">
                  <c:v>58</c:v>
                </c:pt>
                <c:pt idx="2">
                  <c:v>43</c:v>
                </c:pt>
                <c:pt idx="3">
                  <c:v>23</c:v>
                </c:pt>
              </c:numCache>
            </c:numRef>
          </c:val>
          <c:extLst xmlns:c16r2="http://schemas.microsoft.com/office/drawing/2015/06/chart">
            <c:ext xmlns:c16="http://schemas.microsoft.com/office/drawing/2014/chart" uri="{C3380CC4-5D6E-409C-BE32-E72D297353CC}">
              <c16:uniqueId val="{00000001-216C-4D45-AFB2-1487C8D0976B}"/>
            </c:ext>
          </c:extLst>
        </c:ser>
        <c:dLbls>
          <c:showLegendKey val="0"/>
          <c:showVal val="0"/>
          <c:showCatName val="0"/>
          <c:showSerName val="0"/>
          <c:showPercent val="0"/>
          <c:showBubbleSize val="0"/>
        </c:dLbls>
        <c:gapWidth val="150"/>
        <c:axId val="871020800"/>
        <c:axId val="871027872"/>
      </c:barChart>
      <c:catAx>
        <c:axId val="871020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1027872"/>
        <c:crosses val="autoZero"/>
        <c:auto val="1"/>
        <c:lblAlgn val="ctr"/>
        <c:lblOffset val="100"/>
        <c:noMultiLvlLbl val="0"/>
      </c:catAx>
      <c:valAx>
        <c:axId val="871027872"/>
        <c:scaling>
          <c:orientation val="minMax"/>
          <c:max val="60"/>
        </c:scaling>
        <c:delete val="0"/>
        <c:axPos val="l"/>
        <c:majorGridlines>
          <c:spPr>
            <a:ln w="9525" cap="flat" cmpd="sng" algn="ctr">
              <a:noFill/>
              <a:prstDash val="sysDash"/>
              <a:round/>
            </a:ln>
            <a:effectLst/>
          </c:spPr>
        </c:majorGridlines>
        <c:numFmt formatCode="General" sourceLinked="1"/>
        <c:majorTickMark val="out"/>
        <c:minorTickMark val="none"/>
        <c:tickLblPos val="nextTo"/>
        <c:spPr>
          <a:noFill/>
          <a:ln cmpd="sng">
            <a:solidFill>
              <a:schemeClr val="bg1">
                <a:lumMod val="65000"/>
              </a:schemeClr>
            </a:solidFill>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71020800"/>
        <c:crosses val="autoZero"/>
        <c:crossBetween val="between"/>
        <c:majorUnit val="20"/>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400" b="0" i="0" u="none" strike="noStrike" kern="1200" baseline="0">
                <a:solidFill>
                  <a:schemeClr val="tx1"/>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GDP per Capita (in 1990 Int. GK$)</a:t>
            </a:r>
          </a:p>
        </c:rich>
      </c:tx>
      <c:layout>
        <c:manualLayout>
          <c:xMode val="edge"/>
          <c:yMode val="edge"/>
          <c:x val="0.24560411198600179"/>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'Tab 9'!$A$145</c:f>
              <c:strCache>
                <c:ptCount val="1"/>
                <c:pt idx="0">
                  <c:v>GDP per capita</c:v>
                </c:pt>
              </c:strCache>
            </c:strRef>
          </c:tx>
          <c:spPr>
            <a:ln w="28575" cap="rnd">
              <a:solidFill>
                <a:schemeClr val="accent1"/>
              </a:solidFill>
              <a:round/>
            </a:ln>
            <a:effectLst/>
          </c:spPr>
          <c:marker>
            <c:symbol val="none"/>
          </c:marker>
          <c:cat>
            <c:numRef>
              <c:f>'Tab 9'!$A$147:$A$157</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'Tab 9'!$B$147:$B$157</c:f>
              <c:numCache>
                <c:formatCode>#,##0</c:formatCode>
                <c:ptCount val="11"/>
                <c:pt idx="0">
                  <c:v>2655.4006165059391</c:v>
                </c:pt>
                <c:pt idx="1">
                  <c:v>2837.7759939838597</c:v>
                </c:pt>
                <c:pt idx="2">
                  <c:v>2626.4024399545169</c:v>
                </c:pt>
                <c:pt idx="3">
                  <c:v>2626.2227616545979</c:v>
                </c:pt>
                <c:pt idx="4">
                  <c:v>2742.9731474661498</c:v>
                </c:pt>
                <c:pt idx="8">
                  <c:v>1720.7675255062268</c:v>
                </c:pt>
                <c:pt idx="9">
                  <c:v>1773.5369597369215</c:v>
                </c:pt>
                <c:pt idx="10">
                  <c:v>2200.0422299584238</c:v>
                </c:pt>
              </c:numCache>
            </c:numRef>
          </c:val>
          <c:smooth val="0"/>
          <c:extLst xmlns:c16r2="http://schemas.microsoft.com/office/drawing/2015/06/chart">
            <c:ext xmlns:c16="http://schemas.microsoft.com/office/drawing/2014/chart" uri="{C3380CC4-5D6E-409C-BE32-E72D297353CC}">
              <c16:uniqueId val="{00000000-A61A-4349-9FC2-CA724FF54F0F}"/>
            </c:ext>
          </c:extLst>
        </c:ser>
        <c:dLbls>
          <c:showLegendKey val="0"/>
          <c:showVal val="0"/>
          <c:showCatName val="0"/>
          <c:showSerName val="0"/>
          <c:showPercent val="0"/>
          <c:showBubbleSize val="0"/>
        </c:dLbls>
        <c:smooth val="0"/>
        <c:axId val="871034944"/>
        <c:axId val="871024608"/>
      </c:lineChart>
      <c:catAx>
        <c:axId val="87103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1024608"/>
        <c:crosses val="autoZero"/>
        <c:auto val="1"/>
        <c:lblAlgn val="ctr"/>
        <c:lblOffset val="100"/>
        <c:noMultiLvlLbl val="0"/>
      </c:catAx>
      <c:valAx>
        <c:axId val="871024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1034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ysClr val="windowText" lastClr="000000"/>
                </a:solidFill>
                <a:latin typeface="+mn-lt"/>
                <a:ea typeface="+mn-ea"/>
                <a:cs typeface="+mn-cs"/>
              </a:defRPr>
            </a:pPr>
            <a:r>
              <a:rPr lang="en-US" sz="1600" b="1">
                <a:solidFill>
                  <a:sysClr val="windowText" lastClr="000000"/>
                </a:solidFill>
              </a:rPr>
              <a:t>Chart 3: Hungarian GDP per Capita </a:t>
            </a:r>
          </a:p>
          <a:p>
            <a:pPr>
              <a:defRPr sz="1600" b="1">
                <a:solidFill>
                  <a:sysClr val="windowText" lastClr="000000"/>
                </a:solidFill>
              </a:defRPr>
            </a:pPr>
            <a:r>
              <a:rPr lang="en-US" sz="1600" b="1">
                <a:solidFill>
                  <a:sysClr val="windowText" lastClr="000000"/>
                </a:solidFill>
              </a:rPr>
              <a:t>(1990 International Gheary-Khamis</a:t>
            </a:r>
            <a:r>
              <a:rPr lang="en-US" sz="1600" b="1" baseline="0">
                <a:solidFill>
                  <a:sysClr val="windowText" lastClr="000000"/>
                </a:solidFill>
              </a:rPr>
              <a:t> dollars)</a:t>
            </a:r>
            <a:r>
              <a:rPr lang="en-US" sz="1600" b="1">
                <a:solidFill>
                  <a:sysClr val="windowText" lastClr="000000"/>
                </a:solidFill>
              </a:rPr>
              <a:t> </a:t>
            </a:r>
          </a:p>
        </c:rich>
      </c:tx>
      <c:layout>
        <c:manualLayout>
          <c:xMode val="edge"/>
          <c:yMode val="edge"/>
          <c:x val="0.13554042097815114"/>
          <c:y val="3.2407494799472962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'Tab 9'!$A$145</c:f>
              <c:strCache>
                <c:ptCount val="1"/>
                <c:pt idx="0">
                  <c:v>GDP per capita</c:v>
                </c:pt>
              </c:strCache>
            </c:strRef>
          </c:tx>
          <c:spPr>
            <a:solidFill>
              <a:schemeClr val="accent1"/>
            </a:solidFill>
            <a:ln>
              <a:noFill/>
            </a:ln>
            <a:effectLst/>
          </c:spPr>
          <c:invertIfNegative val="0"/>
          <c:cat>
            <c:numRef>
              <c:f>'Tab 9'!$A$147:$A$157</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'Tab 9'!$B$147:$B$157</c:f>
              <c:numCache>
                <c:formatCode>#,##0</c:formatCode>
                <c:ptCount val="11"/>
                <c:pt idx="0">
                  <c:v>2655.4006165059391</c:v>
                </c:pt>
                <c:pt idx="1">
                  <c:v>2837.7759939838597</c:v>
                </c:pt>
                <c:pt idx="2">
                  <c:v>2626.4024399545169</c:v>
                </c:pt>
                <c:pt idx="3">
                  <c:v>2626.2227616545979</c:v>
                </c:pt>
                <c:pt idx="4">
                  <c:v>2742.9731474661498</c:v>
                </c:pt>
                <c:pt idx="8">
                  <c:v>1720.7675255062268</c:v>
                </c:pt>
                <c:pt idx="9">
                  <c:v>1773.5369597369215</c:v>
                </c:pt>
                <c:pt idx="10">
                  <c:v>2200.0422299584238</c:v>
                </c:pt>
              </c:numCache>
            </c:numRef>
          </c:val>
          <c:extLst xmlns:c16r2="http://schemas.microsoft.com/office/drawing/2015/06/chart">
            <c:ext xmlns:c16="http://schemas.microsoft.com/office/drawing/2014/chart" uri="{C3380CC4-5D6E-409C-BE32-E72D297353CC}">
              <c16:uniqueId val="{00000000-EAD9-4F85-B4FD-5C56951A85DF}"/>
            </c:ext>
          </c:extLst>
        </c:ser>
        <c:dLbls>
          <c:showLegendKey val="0"/>
          <c:showVal val="0"/>
          <c:showCatName val="0"/>
          <c:showSerName val="0"/>
          <c:showPercent val="0"/>
          <c:showBubbleSize val="0"/>
        </c:dLbls>
        <c:gapWidth val="50"/>
        <c:axId val="871022432"/>
        <c:axId val="871033856"/>
      </c:barChart>
      <c:catAx>
        <c:axId val="871022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871033856"/>
        <c:crosses val="autoZero"/>
        <c:auto val="1"/>
        <c:lblAlgn val="ctr"/>
        <c:lblOffset val="100"/>
        <c:noMultiLvlLbl val="0"/>
      </c:catAx>
      <c:valAx>
        <c:axId val="871033856"/>
        <c:scaling>
          <c:orientation val="minMax"/>
        </c:scaling>
        <c:delete val="0"/>
        <c:axPos val="l"/>
        <c:majorGridlines>
          <c:spPr>
            <a:ln w="9525" cap="flat" cmpd="sng" algn="ctr">
              <a:noFill/>
              <a:prstDash val="sysDash"/>
              <a:round/>
            </a:ln>
            <a:effectLst/>
          </c:spPr>
        </c:majorGridlines>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871022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r>
              <a:rPr lang="en-US" sz="2000" b="1">
                <a:solidFill>
                  <a:sysClr val="windowText" lastClr="000000"/>
                </a:solidFill>
              </a:rPr>
              <a:t>Chart</a:t>
            </a:r>
            <a:r>
              <a:rPr lang="en-US" sz="2000" b="1" baseline="0">
                <a:solidFill>
                  <a:sysClr val="windowText" lastClr="000000"/>
                </a:solidFill>
              </a:rPr>
              <a:t> 10: </a:t>
            </a:r>
            <a:r>
              <a:rPr lang="en-US" sz="2000" b="1">
                <a:solidFill>
                  <a:sysClr val="windowText" lastClr="000000"/>
                </a:solidFill>
              </a:rPr>
              <a:t>Cost of Living,</a:t>
            </a:r>
            <a:r>
              <a:rPr lang="en-US" sz="2000" b="1" baseline="0">
                <a:solidFill>
                  <a:sysClr val="windowText" lastClr="000000"/>
                </a:solidFill>
              </a:rPr>
              <a:t> Excluding Rent (1945 = 100)</a:t>
            </a:r>
            <a:endParaRPr lang="en-US" sz="2000" b="1">
              <a:solidFill>
                <a:sysClr val="windowText" lastClr="000000"/>
              </a:solidFill>
            </a:endParaRPr>
          </a:p>
        </c:rich>
      </c:tx>
      <c:overlay val="0"/>
      <c:spPr>
        <a:no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5100496202982303"/>
          <c:y val="0.12106881357600867"/>
          <c:w val="0.79035016869333685"/>
          <c:h val="0.80961620596380202"/>
        </c:manualLayout>
      </c:layout>
      <c:lineChart>
        <c:grouping val="standard"/>
        <c:varyColors val="0"/>
        <c:ser>
          <c:idx val="0"/>
          <c:order val="0"/>
          <c:tx>
            <c:strRef>
              <c:f>'Tab 10'!$B$43</c:f>
              <c:strCache>
                <c:ptCount val="1"/>
                <c:pt idx="0">
                  <c:v>Food</c:v>
                </c:pt>
              </c:strCache>
            </c:strRef>
          </c:tx>
          <c:spPr>
            <a:ln w="28575" cap="rnd">
              <a:solidFill>
                <a:srgbClr val="FF0000"/>
              </a:solidFill>
              <a:prstDash val="sysDot"/>
              <a:round/>
            </a:ln>
            <a:effectLst/>
          </c:spPr>
          <c:marker>
            <c:symbol val="none"/>
          </c:marker>
          <c:cat>
            <c:numRef>
              <c:f>'Tab 10'!$A$44:$A$88</c:f>
              <c:numCache>
                <c:formatCode>m/d/yyyy</c:formatCode>
                <c:ptCount val="45"/>
                <c:pt idx="0" formatCode="d\-mmm\-yy">
                  <c:v>16633</c:v>
                </c:pt>
                <c:pt idx="1">
                  <c:v>16650</c:v>
                </c:pt>
                <c:pt idx="2">
                  <c:v>16664</c:v>
                </c:pt>
                <c:pt idx="3">
                  <c:v>16681</c:v>
                </c:pt>
                <c:pt idx="4">
                  <c:v>16695</c:v>
                </c:pt>
                <c:pt idx="5">
                  <c:v>16711</c:v>
                </c:pt>
                <c:pt idx="6">
                  <c:v>16725</c:v>
                </c:pt>
                <c:pt idx="7">
                  <c:v>16734</c:v>
                </c:pt>
                <c:pt idx="8">
                  <c:v>16741</c:v>
                </c:pt>
                <c:pt idx="9">
                  <c:v>16748</c:v>
                </c:pt>
                <c:pt idx="10">
                  <c:v>16755</c:v>
                </c:pt>
                <c:pt idx="11">
                  <c:v>16762</c:v>
                </c:pt>
                <c:pt idx="12">
                  <c:v>16769</c:v>
                </c:pt>
                <c:pt idx="13">
                  <c:v>16776</c:v>
                </c:pt>
                <c:pt idx="14">
                  <c:v>16783</c:v>
                </c:pt>
                <c:pt idx="15">
                  <c:v>16804</c:v>
                </c:pt>
                <c:pt idx="16">
                  <c:v>16811</c:v>
                </c:pt>
                <c:pt idx="17">
                  <c:v>16818</c:v>
                </c:pt>
                <c:pt idx="18">
                  <c:v>16825</c:v>
                </c:pt>
                <c:pt idx="19">
                  <c:v>16831</c:v>
                </c:pt>
                <c:pt idx="20">
                  <c:v>16839</c:v>
                </c:pt>
                <c:pt idx="21">
                  <c:v>16846</c:v>
                </c:pt>
                <c:pt idx="22">
                  <c:v>16853</c:v>
                </c:pt>
                <c:pt idx="23">
                  <c:v>16860</c:v>
                </c:pt>
                <c:pt idx="24">
                  <c:v>16867</c:v>
                </c:pt>
                <c:pt idx="25">
                  <c:v>16874</c:v>
                </c:pt>
                <c:pt idx="26">
                  <c:v>16881</c:v>
                </c:pt>
                <c:pt idx="27">
                  <c:v>16888</c:v>
                </c:pt>
                <c:pt idx="28">
                  <c:v>16895</c:v>
                </c:pt>
                <c:pt idx="29">
                  <c:v>16902</c:v>
                </c:pt>
                <c:pt idx="30">
                  <c:v>16909</c:v>
                </c:pt>
                <c:pt idx="31">
                  <c:v>16916</c:v>
                </c:pt>
                <c:pt idx="32">
                  <c:v>16924</c:v>
                </c:pt>
                <c:pt idx="33">
                  <c:v>16930</c:v>
                </c:pt>
                <c:pt idx="34">
                  <c:v>16937</c:v>
                </c:pt>
                <c:pt idx="35">
                  <c:v>16944</c:v>
                </c:pt>
                <c:pt idx="36">
                  <c:v>16951</c:v>
                </c:pt>
                <c:pt idx="37">
                  <c:v>16958</c:v>
                </c:pt>
                <c:pt idx="38">
                  <c:v>16965</c:v>
                </c:pt>
                <c:pt idx="39">
                  <c:v>16972</c:v>
                </c:pt>
                <c:pt idx="40">
                  <c:v>16979</c:v>
                </c:pt>
                <c:pt idx="41">
                  <c:v>16986</c:v>
                </c:pt>
                <c:pt idx="42">
                  <c:v>16993</c:v>
                </c:pt>
                <c:pt idx="43">
                  <c:v>17000</c:v>
                </c:pt>
                <c:pt idx="44">
                  <c:v>17007</c:v>
                </c:pt>
              </c:numCache>
            </c:numRef>
          </c:cat>
          <c:val>
            <c:numRef>
              <c:f>'Tab 10'!$B$44:$B$88</c:f>
              <c:numCache>
                <c:formatCode>General</c:formatCode>
                <c:ptCount val="45"/>
                <c:pt idx="0">
                  <c:v>100</c:v>
                </c:pt>
                <c:pt idx="1">
                  <c:v>117.8</c:v>
                </c:pt>
                <c:pt idx="2">
                  <c:v>158.80000000000001</c:v>
                </c:pt>
                <c:pt idx="3">
                  <c:v>194</c:v>
                </c:pt>
                <c:pt idx="4">
                  <c:v>266.8</c:v>
                </c:pt>
                <c:pt idx="5">
                  <c:v>456.1</c:v>
                </c:pt>
                <c:pt idx="6">
                  <c:v>1387.9</c:v>
                </c:pt>
                <c:pt idx="7">
                  <c:v>2066.9</c:v>
                </c:pt>
                <c:pt idx="8">
                  <c:v>3105.5</c:v>
                </c:pt>
                <c:pt idx="9">
                  <c:v>5769.8</c:v>
                </c:pt>
                <c:pt idx="10">
                  <c:v>8754.2999999999993</c:v>
                </c:pt>
                <c:pt idx="11">
                  <c:v>13930.6</c:v>
                </c:pt>
                <c:pt idx="12">
                  <c:v>17322.7</c:v>
                </c:pt>
                <c:pt idx="13">
                  <c:v>26905.9</c:v>
                </c:pt>
                <c:pt idx="14">
                  <c:v>44274.3</c:v>
                </c:pt>
                <c:pt idx="15">
                  <c:v>59302</c:v>
                </c:pt>
                <c:pt idx="16">
                  <c:v>69090</c:v>
                </c:pt>
                <c:pt idx="17">
                  <c:v>77117</c:v>
                </c:pt>
                <c:pt idx="18">
                  <c:v>78701</c:v>
                </c:pt>
                <c:pt idx="19">
                  <c:v>83594</c:v>
                </c:pt>
                <c:pt idx="20">
                  <c:v>109334</c:v>
                </c:pt>
                <c:pt idx="21">
                  <c:v>125727</c:v>
                </c:pt>
                <c:pt idx="22">
                  <c:v>280046</c:v>
                </c:pt>
                <c:pt idx="23">
                  <c:v>513243</c:v>
                </c:pt>
                <c:pt idx="24">
                  <c:v>642608</c:v>
                </c:pt>
                <c:pt idx="25">
                  <c:v>748902</c:v>
                </c:pt>
                <c:pt idx="26">
                  <c:v>1053752</c:v>
                </c:pt>
                <c:pt idx="27">
                  <c:v>1592933</c:v>
                </c:pt>
                <c:pt idx="28">
                  <c:v>3098368</c:v>
                </c:pt>
                <c:pt idx="29">
                  <c:v>4679324</c:v>
                </c:pt>
                <c:pt idx="30">
                  <c:v>9720788</c:v>
                </c:pt>
                <c:pt idx="31">
                  <c:v>20312340</c:v>
                </c:pt>
                <c:pt idx="32">
                  <c:v>51548000</c:v>
                </c:pt>
                <c:pt idx="33">
                  <c:v>110944000</c:v>
                </c:pt>
                <c:pt idx="34">
                  <c:v>327596000</c:v>
                </c:pt>
                <c:pt idx="35">
                  <c:v>1551600000</c:v>
                </c:pt>
                <c:pt idx="36">
                  <c:v>7799200000</c:v>
                </c:pt>
                <c:pt idx="37">
                  <c:v>38857800000</c:v>
                </c:pt>
                <c:pt idx="38">
                  <c:v>248350500000</c:v>
                </c:pt>
                <c:pt idx="39">
                  <c:v>6005400000000</c:v>
                </c:pt>
                <c:pt idx="40">
                  <c:v>152502400000000</c:v>
                </c:pt>
                <c:pt idx="41">
                  <c:v>75900000000000</c:v>
                </c:pt>
                <c:pt idx="42">
                  <c:v>3.0383E+17</c:v>
                </c:pt>
                <c:pt idx="43">
                  <c:v>1.9309E+18</c:v>
                </c:pt>
                <c:pt idx="44">
                  <c:v>4.1336999999999999E+21</c:v>
                </c:pt>
              </c:numCache>
            </c:numRef>
          </c:val>
          <c:smooth val="0"/>
          <c:extLst xmlns:c16r2="http://schemas.microsoft.com/office/drawing/2015/06/chart">
            <c:ext xmlns:c16="http://schemas.microsoft.com/office/drawing/2014/chart" uri="{C3380CC4-5D6E-409C-BE32-E72D297353CC}">
              <c16:uniqueId val="{00000000-C1C8-43EB-A307-EAEBF566879E}"/>
            </c:ext>
          </c:extLst>
        </c:ser>
        <c:ser>
          <c:idx val="1"/>
          <c:order val="1"/>
          <c:tx>
            <c:strRef>
              <c:f>'Tab 10'!$C$43</c:f>
              <c:strCache>
                <c:ptCount val="1"/>
                <c:pt idx="0">
                  <c:v>Clothing</c:v>
                </c:pt>
              </c:strCache>
            </c:strRef>
          </c:tx>
          <c:spPr>
            <a:ln w="28575" cap="rnd">
              <a:solidFill>
                <a:schemeClr val="accent2"/>
              </a:solidFill>
              <a:prstDash val="sysDash"/>
              <a:round/>
            </a:ln>
            <a:effectLst/>
          </c:spPr>
          <c:marker>
            <c:symbol val="none"/>
          </c:marker>
          <c:cat>
            <c:numRef>
              <c:f>'Tab 10'!$A$44:$A$88</c:f>
              <c:numCache>
                <c:formatCode>m/d/yyyy</c:formatCode>
                <c:ptCount val="45"/>
                <c:pt idx="0" formatCode="d\-mmm\-yy">
                  <c:v>16633</c:v>
                </c:pt>
                <c:pt idx="1">
                  <c:v>16650</c:v>
                </c:pt>
                <c:pt idx="2">
                  <c:v>16664</c:v>
                </c:pt>
                <c:pt idx="3">
                  <c:v>16681</c:v>
                </c:pt>
                <c:pt idx="4">
                  <c:v>16695</c:v>
                </c:pt>
                <c:pt idx="5">
                  <c:v>16711</c:v>
                </c:pt>
                <c:pt idx="6">
                  <c:v>16725</c:v>
                </c:pt>
                <c:pt idx="7">
                  <c:v>16734</c:v>
                </c:pt>
                <c:pt idx="8">
                  <c:v>16741</c:v>
                </c:pt>
                <c:pt idx="9">
                  <c:v>16748</c:v>
                </c:pt>
                <c:pt idx="10">
                  <c:v>16755</c:v>
                </c:pt>
                <c:pt idx="11">
                  <c:v>16762</c:v>
                </c:pt>
                <c:pt idx="12">
                  <c:v>16769</c:v>
                </c:pt>
                <c:pt idx="13">
                  <c:v>16776</c:v>
                </c:pt>
                <c:pt idx="14">
                  <c:v>16783</c:v>
                </c:pt>
                <c:pt idx="15">
                  <c:v>16804</c:v>
                </c:pt>
                <c:pt idx="16">
                  <c:v>16811</c:v>
                </c:pt>
                <c:pt idx="17">
                  <c:v>16818</c:v>
                </c:pt>
                <c:pt idx="18">
                  <c:v>16825</c:v>
                </c:pt>
                <c:pt idx="19">
                  <c:v>16831</c:v>
                </c:pt>
                <c:pt idx="20">
                  <c:v>16839</c:v>
                </c:pt>
                <c:pt idx="21">
                  <c:v>16846</c:v>
                </c:pt>
                <c:pt idx="22">
                  <c:v>16853</c:v>
                </c:pt>
                <c:pt idx="23">
                  <c:v>16860</c:v>
                </c:pt>
                <c:pt idx="24">
                  <c:v>16867</c:v>
                </c:pt>
                <c:pt idx="25">
                  <c:v>16874</c:v>
                </c:pt>
                <c:pt idx="26">
                  <c:v>16881</c:v>
                </c:pt>
                <c:pt idx="27">
                  <c:v>16888</c:v>
                </c:pt>
                <c:pt idx="28">
                  <c:v>16895</c:v>
                </c:pt>
                <c:pt idx="29">
                  <c:v>16902</c:v>
                </c:pt>
                <c:pt idx="30">
                  <c:v>16909</c:v>
                </c:pt>
                <c:pt idx="31">
                  <c:v>16916</c:v>
                </c:pt>
                <c:pt idx="32">
                  <c:v>16924</c:v>
                </c:pt>
                <c:pt idx="33">
                  <c:v>16930</c:v>
                </c:pt>
                <c:pt idx="34">
                  <c:v>16937</c:v>
                </c:pt>
                <c:pt idx="35">
                  <c:v>16944</c:v>
                </c:pt>
                <c:pt idx="36">
                  <c:v>16951</c:v>
                </c:pt>
                <c:pt idx="37">
                  <c:v>16958</c:v>
                </c:pt>
                <c:pt idx="38">
                  <c:v>16965</c:v>
                </c:pt>
                <c:pt idx="39">
                  <c:v>16972</c:v>
                </c:pt>
                <c:pt idx="40">
                  <c:v>16979</c:v>
                </c:pt>
                <c:pt idx="41">
                  <c:v>16986</c:v>
                </c:pt>
                <c:pt idx="42">
                  <c:v>16993</c:v>
                </c:pt>
                <c:pt idx="43">
                  <c:v>17000</c:v>
                </c:pt>
                <c:pt idx="44">
                  <c:v>17007</c:v>
                </c:pt>
              </c:numCache>
            </c:numRef>
          </c:cat>
          <c:val>
            <c:numRef>
              <c:f>'Tab 10'!$C$44:$C$88</c:f>
              <c:numCache>
                <c:formatCode>General</c:formatCode>
                <c:ptCount val="45"/>
                <c:pt idx="0">
                  <c:v>100</c:v>
                </c:pt>
                <c:pt idx="1">
                  <c:v>122.8</c:v>
                </c:pt>
                <c:pt idx="2">
                  <c:v>176.6</c:v>
                </c:pt>
                <c:pt idx="3">
                  <c:v>228.2</c:v>
                </c:pt>
                <c:pt idx="4">
                  <c:v>294.60000000000002</c:v>
                </c:pt>
                <c:pt idx="5">
                  <c:v>606.29999999999995</c:v>
                </c:pt>
                <c:pt idx="6">
                  <c:v>1511.5</c:v>
                </c:pt>
                <c:pt idx="7">
                  <c:v>2016.5</c:v>
                </c:pt>
                <c:pt idx="8">
                  <c:v>2758.6</c:v>
                </c:pt>
                <c:pt idx="9">
                  <c:v>3568.1</c:v>
                </c:pt>
                <c:pt idx="10">
                  <c:v>4063.9</c:v>
                </c:pt>
                <c:pt idx="11">
                  <c:v>8619.7999999999993</c:v>
                </c:pt>
                <c:pt idx="12">
                  <c:v>14192.5</c:v>
                </c:pt>
                <c:pt idx="13">
                  <c:v>18871.8</c:v>
                </c:pt>
                <c:pt idx="14">
                  <c:v>29239.8</c:v>
                </c:pt>
                <c:pt idx="15">
                  <c:v>26624</c:v>
                </c:pt>
                <c:pt idx="16">
                  <c:v>31945</c:v>
                </c:pt>
                <c:pt idx="17">
                  <c:v>40660</c:v>
                </c:pt>
                <c:pt idx="18">
                  <c:v>44825</c:v>
                </c:pt>
                <c:pt idx="19">
                  <c:v>71361</c:v>
                </c:pt>
                <c:pt idx="20">
                  <c:v>92139</c:v>
                </c:pt>
                <c:pt idx="21">
                  <c:v>128777</c:v>
                </c:pt>
                <c:pt idx="22">
                  <c:v>209209</c:v>
                </c:pt>
                <c:pt idx="23">
                  <c:v>676153</c:v>
                </c:pt>
                <c:pt idx="24">
                  <c:v>894738</c:v>
                </c:pt>
                <c:pt idx="25">
                  <c:v>1115689</c:v>
                </c:pt>
                <c:pt idx="26">
                  <c:v>1527334</c:v>
                </c:pt>
                <c:pt idx="27">
                  <c:v>2336666</c:v>
                </c:pt>
                <c:pt idx="28">
                  <c:v>3793041</c:v>
                </c:pt>
                <c:pt idx="29">
                  <c:v>6268343</c:v>
                </c:pt>
                <c:pt idx="30">
                  <c:v>12662440</c:v>
                </c:pt>
                <c:pt idx="31">
                  <c:v>27430174</c:v>
                </c:pt>
                <c:pt idx="32">
                  <c:v>52650000</c:v>
                </c:pt>
                <c:pt idx="33">
                  <c:v>170997000</c:v>
                </c:pt>
                <c:pt idx="34">
                  <c:v>759973000</c:v>
                </c:pt>
                <c:pt idx="35">
                  <c:v>2650300000</c:v>
                </c:pt>
                <c:pt idx="36">
                  <c:v>11519300000</c:v>
                </c:pt>
                <c:pt idx="37">
                  <c:v>46293400000</c:v>
                </c:pt>
                <c:pt idx="38">
                  <c:v>323374600000</c:v>
                </c:pt>
                <c:pt idx="39">
                  <c:v>5132100000000</c:v>
                </c:pt>
                <c:pt idx="40">
                  <c:v>75655200000000</c:v>
                </c:pt>
                <c:pt idx="41">
                  <c:v>94500000000000</c:v>
                </c:pt>
                <c:pt idx="42">
                  <c:v>2.393E+17</c:v>
                </c:pt>
                <c:pt idx="43">
                  <c:v>5.674E+17</c:v>
                </c:pt>
                <c:pt idx="44">
                  <c:v>4.1212999999999999E+21</c:v>
                </c:pt>
              </c:numCache>
            </c:numRef>
          </c:val>
          <c:smooth val="0"/>
          <c:extLst xmlns:c16r2="http://schemas.microsoft.com/office/drawing/2015/06/chart">
            <c:ext xmlns:c16="http://schemas.microsoft.com/office/drawing/2014/chart" uri="{C3380CC4-5D6E-409C-BE32-E72D297353CC}">
              <c16:uniqueId val="{00000001-C1C8-43EB-A307-EAEBF566879E}"/>
            </c:ext>
          </c:extLst>
        </c:ser>
        <c:ser>
          <c:idx val="2"/>
          <c:order val="2"/>
          <c:tx>
            <c:strRef>
              <c:f>'Tab 10'!$D$43</c:f>
              <c:strCache>
                <c:ptCount val="1"/>
                <c:pt idx="0">
                  <c:v>Fuel and Light</c:v>
                </c:pt>
              </c:strCache>
            </c:strRef>
          </c:tx>
          <c:spPr>
            <a:ln w="28575" cap="rnd">
              <a:solidFill>
                <a:schemeClr val="accent3"/>
              </a:solidFill>
              <a:round/>
            </a:ln>
            <a:effectLst/>
          </c:spPr>
          <c:marker>
            <c:symbol val="none"/>
          </c:marker>
          <c:cat>
            <c:numRef>
              <c:f>'Tab 10'!$A$44:$A$88</c:f>
              <c:numCache>
                <c:formatCode>m/d/yyyy</c:formatCode>
                <c:ptCount val="45"/>
                <c:pt idx="0" formatCode="d\-mmm\-yy">
                  <c:v>16633</c:v>
                </c:pt>
                <c:pt idx="1">
                  <c:v>16650</c:v>
                </c:pt>
                <c:pt idx="2">
                  <c:v>16664</c:v>
                </c:pt>
                <c:pt idx="3">
                  <c:v>16681</c:v>
                </c:pt>
                <c:pt idx="4">
                  <c:v>16695</c:v>
                </c:pt>
                <c:pt idx="5">
                  <c:v>16711</c:v>
                </c:pt>
                <c:pt idx="6">
                  <c:v>16725</c:v>
                </c:pt>
                <c:pt idx="7">
                  <c:v>16734</c:v>
                </c:pt>
                <c:pt idx="8">
                  <c:v>16741</c:v>
                </c:pt>
                <c:pt idx="9">
                  <c:v>16748</c:v>
                </c:pt>
                <c:pt idx="10">
                  <c:v>16755</c:v>
                </c:pt>
                <c:pt idx="11">
                  <c:v>16762</c:v>
                </c:pt>
                <c:pt idx="12">
                  <c:v>16769</c:v>
                </c:pt>
                <c:pt idx="13">
                  <c:v>16776</c:v>
                </c:pt>
                <c:pt idx="14">
                  <c:v>16783</c:v>
                </c:pt>
                <c:pt idx="15">
                  <c:v>16804</c:v>
                </c:pt>
                <c:pt idx="16">
                  <c:v>16811</c:v>
                </c:pt>
                <c:pt idx="17">
                  <c:v>16818</c:v>
                </c:pt>
                <c:pt idx="18">
                  <c:v>16825</c:v>
                </c:pt>
                <c:pt idx="19">
                  <c:v>16831</c:v>
                </c:pt>
                <c:pt idx="20">
                  <c:v>16839</c:v>
                </c:pt>
                <c:pt idx="21">
                  <c:v>16846</c:v>
                </c:pt>
                <c:pt idx="22">
                  <c:v>16853</c:v>
                </c:pt>
                <c:pt idx="23">
                  <c:v>16860</c:v>
                </c:pt>
                <c:pt idx="24">
                  <c:v>16867</c:v>
                </c:pt>
                <c:pt idx="25">
                  <c:v>16874</c:v>
                </c:pt>
                <c:pt idx="26">
                  <c:v>16881</c:v>
                </c:pt>
                <c:pt idx="27">
                  <c:v>16888</c:v>
                </c:pt>
                <c:pt idx="28">
                  <c:v>16895</c:v>
                </c:pt>
                <c:pt idx="29">
                  <c:v>16902</c:v>
                </c:pt>
                <c:pt idx="30">
                  <c:v>16909</c:v>
                </c:pt>
                <c:pt idx="31">
                  <c:v>16916</c:v>
                </c:pt>
                <c:pt idx="32">
                  <c:v>16924</c:v>
                </c:pt>
                <c:pt idx="33">
                  <c:v>16930</c:v>
                </c:pt>
                <c:pt idx="34">
                  <c:v>16937</c:v>
                </c:pt>
                <c:pt idx="35">
                  <c:v>16944</c:v>
                </c:pt>
                <c:pt idx="36">
                  <c:v>16951</c:v>
                </c:pt>
                <c:pt idx="37">
                  <c:v>16958</c:v>
                </c:pt>
                <c:pt idx="38">
                  <c:v>16965</c:v>
                </c:pt>
                <c:pt idx="39">
                  <c:v>16972</c:v>
                </c:pt>
                <c:pt idx="40">
                  <c:v>16979</c:v>
                </c:pt>
                <c:pt idx="41">
                  <c:v>16986</c:v>
                </c:pt>
                <c:pt idx="42">
                  <c:v>16993</c:v>
                </c:pt>
                <c:pt idx="43">
                  <c:v>17000</c:v>
                </c:pt>
                <c:pt idx="44">
                  <c:v>17007</c:v>
                </c:pt>
              </c:numCache>
            </c:numRef>
          </c:cat>
          <c:val>
            <c:numRef>
              <c:f>'Tab 10'!$D$44:$D$88</c:f>
              <c:numCache>
                <c:formatCode>General</c:formatCode>
                <c:ptCount val="45"/>
                <c:pt idx="0">
                  <c:v>100</c:v>
                </c:pt>
                <c:pt idx="1">
                  <c:v>102.5</c:v>
                </c:pt>
                <c:pt idx="2">
                  <c:v>127.3</c:v>
                </c:pt>
                <c:pt idx="3">
                  <c:v>143.1</c:v>
                </c:pt>
                <c:pt idx="4">
                  <c:v>159.19999999999999</c:v>
                </c:pt>
                <c:pt idx="5">
                  <c:v>216.6</c:v>
                </c:pt>
                <c:pt idx="6">
                  <c:v>697.4</c:v>
                </c:pt>
                <c:pt idx="7">
                  <c:v>1379.1</c:v>
                </c:pt>
                <c:pt idx="8">
                  <c:v>2015.1</c:v>
                </c:pt>
                <c:pt idx="9">
                  <c:v>2445.8000000000002</c:v>
                </c:pt>
                <c:pt idx="10">
                  <c:v>2984</c:v>
                </c:pt>
                <c:pt idx="11">
                  <c:v>4454.8999999999996</c:v>
                </c:pt>
                <c:pt idx="12">
                  <c:v>8385.7999999999993</c:v>
                </c:pt>
                <c:pt idx="13">
                  <c:v>18611.599999999999</c:v>
                </c:pt>
                <c:pt idx="14">
                  <c:v>23993.599999999999</c:v>
                </c:pt>
                <c:pt idx="15">
                  <c:v>28208</c:v>
                </c:pt>
                <c:pt idx="16">
                  <c:v>28208</c:v>
                </c:pt>
                <c:pt idx="17">
                  <c:v>25697</c:v>
                </c:pt>
                <c:pt idx="18">
                  <c:v>33665</c:v>
                </c:pt>
                <c:pt idx="19">
                  <c:v>43353</c:v>
                </c:pt>
                <c:pt idx="20">
                  <c:v>49989</c:v>
                </c:pt>
                <c:pt idx="21">
                  <c:v>67144</c:v>
                </c:pt>
                <c:pt idx="22">
                  <c:v>82572</c:v>
                </c:pt>
                <c:pt idx="23">
                  <c:v>241216</c:v>
                </c:pt>
                <c:pt idx="24">
                  <c:v>288275</c:v>
                </c:pt>
                <c:pt idx="25">
                  <c:v>333958</c:v>
                </c:pt>
                <c:pt idx="26">
                  <c:v>437931</c:v>
                </c:pt>
                <c:pt idx="27">
                  <c:v>635278</c:v>
                </c:pt>
                <c:pt idx="28">
                  <c:v>1180849</c:v>
                </c:pt>
                <c:pt idx="29">
                  <c:v>2167581</c:v>
                </c:pt>
                <c:pt idx="30">
                  <c:v>3587355</c:v>
                </c:pt>
                <c:pt idx="31">
                  <c:v>8395477</c:v>
                </c:pt>
                <c:pt idx="32">
                  <c:v>21808000</c:v>
                </c:pt>
                <c:pt idx="33">
                  <c:v>52981000</c:v>
                </c:pt>
                <c:pt idx="34">
                  <c:v>172819000</c:v>
                </c:pt>
                <c:pt idx="35">
                  <c:v>633400000</c:v>
                </c:pt>
                <c:pt idx="36">
                  <c:v>3288000000</c:v>
                </c:pt>
                <c:pt idx="37">
                  <c:v>13040000000</c:v>
                </c:pt>
                <c:pt idx="38">
                  <c:v>139635700000</c:v>
                </c:pt>
                <c:pt idx="39">
                  <c:v>2900400000000</c:v>
                </c:pt>
                <c:pt idx="40">
                  <c:v>95744400000000</c:v>
                </c:pt>
                <c:pt idx="41">
                  <c:v>23900000000000</c:v>
                </c:pt>
                <c:pt idx="42">
                  <c:v>1.116E+17</c:v>
                </c:pt>
                <c:pt idx="43">
                  <c:v>6.138E+17</c:v>
                </c:pt>
                <c:pt idx="44">
                  <c:v>2.1658E+21</c:v>
                </c:pt>
              </c:numCache>
            </c:numRef>
          </c:val>
          <c:smooth val="0"/>
          <c:extLst xmlns:c16r2="http://schemas.microsoft.com/office/drawing/2015/06/chart">
            <c:ext xmlns:c16="http://schemas.microsoft.com/office/drawing/2014/chart" uri="{C3380CC4-5D6E-409C-BE32-E72D297353CC}">
              <c16:uniqueId val="{00000002-C1C8-43EB-A307-EAEBF566879E}"/>
            </c:ext>
          </c:extLst>
        </c:ser>
        <c:ser>
          <c:idx val="3"/>
          <c:order val="3"/>
          <c:tx>
            <c:strRef>
              <c:f>'Tab 10'!$E$43</c:f>
              <c:strCache>
                <c:ptCount val="1"/>
                <c:pt idx="0">
                  <c:v>Other Requirements</c:v>
                </c:pt>
              </c:strCache>
            </c:strRef>
          </c:tx>
          <c:spPr>
            <a:ln w="28575" cap="rnd">
              <a:solidFill>
                <a:schemeClr val="accent4"/>
              </a:solidFill>
              <a:round/>
            </a:ln>
            <a:effectLst/>
          </c:spPr>
          <c:marker>
            <c:symbol val="none"/>
          </c:marker>
          <c:cat>
            <c:numRef>
              <c:f>'Tab 10'!$A$44:$A$88</c:f>
              <c:numCache>
                <c:formatCode>m/d/yyyy</c:formatCode>
                <c:ptCount val="45"/>
                <c:pt idx="0" formatCode="d\-mmm\-yy">
                  <c:v>16633</c:v>
                </c:pt>
                <c:pt idx="1">
                  <c:v>16650</c:v>
                </c:pt>
                <c:pt idx="2">
                  <c:v>16664</c:v>
                </c:pt>
                <c:pt idx="3">
                  <c:v>16681</c:v>
                </c:pt>
                <c:pt idx="4">
                  <c:v>16695</c:v>
                </c:pt>
                <c:pt idx="5">
                  <c:v>16711</c:v>
                </c:pt>
                <c:pt idx="6">
                  <c:v>16725</c:v>
                </c:pt>
                <c:pt idx="7">
                  <c:v>16734</c:v>
                </c:pt>
                <c:pt idx="8">
                  <c:v>16741</c:v>
                </c:pt>
                <c:pt idx="9">
                  <c:v>16748</c:v>
                </c:pt>
                <c:pt idx="10">
                  <c:v>16755</c:v>
                </c:pt>
                <c:pt idx="11">
                  <c:v>16762</c:v>
                </c:pt>
                <c:pt idx="12">
                  <c:v>16769</c:v>
                </c:pt>
                <c:pt idx="13">
                  <c:v>16776</c:v>
                </c:pt>
                <c:pt idx="14">
                  <c:v>16783</c:v>
                </c:pt>
                <c:pt idx="15">
                  <c:v>16804</c:v>
                </c:pt>
                <c:pt idx="16">
                  <c:v>16811</c:v>
                </c:pt>
                <c:pt idx="17">
                  <c:v>16818</c:v>
                </c:pt>
                <c:pt idx="18">
                  <c:v>16825</c:v>
                </c:pt>
                <c:pt idx="19">
                  <c:v>16831</c:v>
                </c:pt>
                <c:pt idx="20">
                  <c:v>16839</c:v>
                </c:pt>
                <c:pt idx="21">
                  <c:v>16846</c:v>
                </c:pt>
                <c:pt idx="22">
                  <c:v>16853</c:v>
                </c:pt>
                <c:pt idx="23">
                  <c:v>16860</c:v>
                </c:pt>
                <c:pt idx="24">
                  <c:v>16867</c:v>
                </c:pt>
                <c:pt idx="25">
                  <c:v>16874</c:v>
                </c:pt>
                <c:pt idx="26">
                  <c:v>16881</c:v>
                </c:pt>
                <c:pt idx="27">
                  <c:v>16888</c:v>
                </c:pt>
                <c:pt idx="28">
                  <c:v>16895</c:v>
                </c:pt>
                <c:pt idx="29">
                  <c:v>16902</c:v>
                </c:pt>
                <c:pt idx="30">
                  <c:v>16909</c:v>
                </c:pt>
                <c:pt idx="31">
                  <c:v>16916</c:v>
                </c:pt>
                <c:pt idx="32">
                  <c:v>16924</c:v>
                </c:pt>
                <c:pt idx="33">
                  <c:v>16930</c:v>
                </c:pt>
                <c:pt idx="34">
                  <c:v>16937</c:v>
                </c:pt>
                <c:pt idx="35">
                  <c:v>16944</c:v>
                </c:pt>
                <c:pt idx="36">
                  <c:v>16951</c:v>
                </c:pt>
                <c:pt idx="37">
                  <c:v>16958</c:v>
                </c:pt>
                <c:pt idx="38">
                  <c:v>16965</c:v>
                </c:pt>
                <c:pt idx="39">
                  <c:v>16972</c:v>
                </c:pt>
                <c:pt idx="40">
                  <c:v>16979</c:v>
                </c:pt>
                <c:pt idx="41">
                  <c:v>16986</c:v>
                </c:pt>
                <c:pt idx="42">
                  <c:v>16993</c:v>
                </c:pt>
                <c:pt idx="43">
                  <c:v>17000</c:v>
                </c:pt>
                <c:pt idx="44">
                  <c:v>17007</c:v>
                </c:pt>
              </c:numCache>
            </c:numRef>
          </c:cat>
          <c:val>
            <c:numRef>
              <c:f>'Tab 10'!$E$44:$E$88</c:f>
              <c:numCache>
                <c:formatCode>General</c:formatCode>
                <c:ptCount val="45"/>
                <c:pt idx="0">
                  <c:v>100</c:v>
                </c:pt>
                <c:pt idx="1">
                  <c:v>128.1</c:v>
                </c:pt>
                <c:pt idx="2">
                  <c:v>149.4</c:v>
                </c:pt>
                <c:pt idx="3">
                  <c:v>193.6</c:v>
                </c:pt>
                <c:pt idx="4">
                  <c:v>215</c:v>
                </c:pt>
                <c:pt idx="5">
                  <c:v>311.89999999999998</c:v>
                </c:pt>
                <c:pt idx="6">
                  <c:v>622.79999999999995</c:v>
                </c:pt>
                <c:pt idx="7">
                  <c:v>1189.4000000000001</c:v>
                </c:pt>
                <c:pt idx="8">
                  <c:v>1612.8</c:v>
                </c:pt>
                <c:pt idx="9">
                  <c:v>2029.4</c:v>
                </c:pt>
                <c:pt idx="10">
                  <c:v>4118.3</c:v>
                </c:pt>
                <c:pt idx="11">
                  <c:v>5818.3</c:v>
                </c:pt>
                <c:pt idx="12">
                  <c:v>7640.3</c:v>
                </c:pt>
                <c:pt idx="13">
                  <c:v>9556.9</c:v>
                </c:pt>
                <c:pt idx="14">
                  <c:v>13543.1</c:v>
                </c:pt>
                <c:pt idx="15">
                  <c:v>20906</c:v>
                </c:pt>
                <c:pt idx="16">
                  <c:v>25739</c:v>
                </c:pt>
                <c:pt idx="17">
                  <c:v>29072</c:v>
                </c:pt>
                <c:pt idx="18">
                  <c:v>40500</c:v>
                </c:pt>
                <c:pt idx="19">
                  <c:v>58361</c:v>
                </c:pt>
                <c:pt idx="20">
                  <c:v>76111</c:v>
                </c:pt>
                <c:pt idx="21">
                  <c:v>96389</c:v>
                </c:pt>
                <c:pt idx="22">
                  <c:v>167500</c:v>
                </c:pt>
                <c:pt idx="23">
                  <c:v>369722</c:v>
                </c:pt>
                <c:pt idx="24">
                  <c:v>500556</c:v>
                </c:pt>
                <c:pt idx="25">
                  <c:v>599167</c:v>
                </c:pt>
                <c:pt idx="26">
                  <c:v>749167</c:v>
                </c:pt>
                <c:pt idx="27">
                  <c:v>1156944</c:v>
                </c:pt>
                <c:pt idx="28">
                  <c:v>1822222</c:v>
                </c:pt>
                <c:pt idx="29">
                  <c:v>3311111</c:v>
                </c:pt>
                <c:pt idx="30">
                  <c:v>7633333</c:v>
                </c:pt>
                <c:pt idx="31">
                  <c:v>13311111</c:v>
                </c:pt>
                <c:pt idx="32">
                  <c:v>32967000</c:v>
                </c:pt>
                <c:pt idx="33">
                  <c:v>90828000</c:v>
                </c:pt>
                <c:pt idx="34">
                  <c:v>251528000</c:v>
                </c:pt>
                <c:pt idx="35">
                  <c:v>935300000</c:v>
                </c:pt>
                <c:pt idx="36">
                  <c:v>3732200000</c:v>
                </c:pt>
                <c:pt idx="37">
                  <c:v>16672200000</c:v>
                </c:pt>
                <c:pt idx="38">
                  <c:v>91444400000</c:v>
                </c:pt>
                <c:pt idx="39">
                  <c:v>2163600000000</c:v>
                </c:pt>
                <c:pt idx="40">
                  <c:v>97859700000000</c:v>
                </c:pt>
                <c:pt idx="41">
                  <c:v>40900000000000</c:v>
                </c:pt>
                <c:pt idx="42">
                  <c:v>1.146E+17</c:v>
                </c:pt>
                <c:pt idx="43">
                  <c:v>5.808E+17</c:v>
                </c:pt>
                <c:pt idx="44">
                  <c:v>1.6124999999999999E+21</c:v>
                </c:pt>
              </c:numCache>
            </c:numRef>
          </c:val>
          <c:smooth val="0"/>
          <c:extLst xmlns:c16r2="http://schemas.microsoft.com/office/drawing/2015/06/chart">
            <c:ext xmlns:c16="http://schemas.microsoft.com/office/drawing/2014/chart" uri="{C3380CC4-5D6E-409C-BE32-E72D297353CC}">
              <c16:uniqueId val="{00000003-C1C8-43EB-A307-EAEBF566879E}"/>
            </c:ext>
          </c:extLst>
        </c:ser>
        <c:ser>
          <c:idx val="4"/>
          <c:order val="4"/>
          <c:tx>
            <c:strRef>
              <c:f>'Tab 10'!$F$43</c:f>
              <c:strCache>
                <c:ptCount val="1"/>
                <c:pt idx="0">
                  <c:v>Total Without Rent</c:v>
                </c:pt>
              </c:strCache>
            </c:strRef>
          </c:tx>
          <c:spPr>
            <a:ln w="28575" cap="rnd">
              <a:solidFill>
                <a:schemeClr val="accent5"/>
              </a:solidFill>
              <a:round/>
            </a:ln>
            <a:effectLst/>
          </c:spPr>
          <c:marker>
            <c:symbol val="none"/>
          </c:marker>
          <c:cat>
            <c:numRef>
              <c:f>'Tab 10'!$A$44:$A$88</c:f>
              <c:numCache>
                <c:formatCode>m/d/yyyy</c:formatCode>
                <c:ptCount val="45"/>
                <c:pt idx="0" formatCode="d\-mmm\-yy">
                  <c:v>16633</c:v>
                </c:pt>
                <c:pt idx="1">
                  <c:v>16650</c:v>
                </c:pt>
                <c:pt idx="2">
                  <c:v>16664</c:v>
                </c:pt>
                <c:pt idx="3">
                  <c:v>16681</c:v>
                </c:pt>
                <c:pt idx="4">
                  <c:v>16695</c:v>
                </c:pt>
                <c:pt idx="5">
                  <c:v>16711</c:v>
                </c:pt>
                <c:pt idx="6">
                  <c:v>16725</c:v>
                </c:pt>
                <c:pt idx="7">
                  <c:v>16734</c:v>
                </c:pt>
                <c:pt idx="8">
                  <c:v>16741</c:v>
                </c:pt>
                <c:pt idx="9">
                  <c:v>16748</c:v>
                </c:pt>
                <c:pt idx="10">
                  <c:v>16755</c:v>
                </c:pt>
                <c:pt idx="11">
                  <c:v>16762</c:v>
                </c:pt>
                <c:pt idx="12">
                  <c:v>16769</c:v>
                </c:pt>
                <c:pt idx="13">
                  <c:v>16776</c:v>
                </c:pt>
                <c:pt idx="14">
                  <c:v>16783</c:v>
                </c:pt>
                <c:pt idx="15">
                  <c:v>16804</c:v>
                </c:pt>
                <c:pt idx="16">
                  <c:v>16811</c:v>
                </c:pt>
                <c:pt idx="17">
                  <c:v>16818</c:v>
                </c:pt>
                <c:pt idx="18">
                  <c:v>16825</c:v>
                </c:pt>
                <c:pt idx="19">
                  <c:v>16831</c:v>
                </c:pt>
                <c:pt idx="20">
                  <c:v>16839</c:v>
                </c:pt>
                <c:pt idx="21">
                  <c:v>16846</c:v>
                </c:pt>
                <c:pt idx="22">
                  <c:v>16853</c:v>
                </c:pt>
                <c:pt idx="23">
                  <c:v>16860</c:v>
                </c:pt>
                <c:pt idx="24">
                  <c:v>16867</c:v>
                </c:pt>
                <c:pt idx="25">
                  <c:v>16874</c:v>
                </c:pt>
                <c:pt idx="26">
                  <c:v>16881</c:v>
                </c:pt>
                <c:pt idx="27">
                  <c:v>16888</c:v>
                </c:pt>
                <c:pt idx="28">
                  <c:v>16895</c:v>
                </c:pt>
                <c:pt idx="29">
                  <c:v>16902</c:v>
                </c:pt>
                <c:pt idx="30">
                  <c:v>16909</c:v>
                </c:pt>
                <c:pt idx="31">
                  <c:v>16916</c:v>
                </c:pt>
                <c:pt idx="32">
                  <c:v>16924</c:v>
                </c:pt>
                <c:pt idx="33">
                  <c:v>16930</c:v>
                </c:pt>
                <c:pt idx="34">
                  <c:v>16937</c:v>
                </c:pt>
                <c:pt idx="35">
                  <c:v>16944</c:v>
                </c:pt>
                <c:pt idx="36">
                  <c:v>16951</c:v>
                </c:pt>
                <c:pt idx="37">
                  <c:v>16958</c:v>
                </c:pt>
                <c:pt idx="38">
                  <c:v>16965</c:v>
                </c:pt>
                <c:pt idx="39">
                  <c:v>16972</c:v>
                </c:pt>
                <c:pt idx="40">
                  <c:v>16979</c:v>
                </c:pt>
                <c:pt idx="41">
                  <c:v>16986</c:v>
                </c:pt>
                <c:pt idx="42">
                  <c:v>16993</c:v>
                </c:pt>
                <c:pt idx="43">
                  <c:v>17000</c:v>
                </c:pt>
                <c:pt idx="44">
                  <c:v>17007</c:v>
                </c:pt>
              </c:numCache>
            </c:numRef>
          </c:cat>
          <c:val>
            <c:numRef>
              <c:f>'Tab 10'!$F$44:$F$88</c:f>
              <c:numCache>
                <c:formatCode>General</c:formatCode>
                <c:ptCount val="45"/>
                <c:pt idx="0">
                  <c:v>100</c:v>
                </c:pt>
                <c:pt idx="1">
                  <c:v>118.2</c:v>
                </c:pt>
                <c:pt idx="2">
                  <c:v>155.9</c:v>
                </c:pt>
                <c:pt idx="3">
                  <c:v>192.1</c:v>
                </c:pt>
                <c:pt idx="4">
                  <c:v>250.4</c:v>
                </c:pt>
                <c:pt idx="5">
                  <c:v>425.2</c:v>
                </c:pt>
                <c:pt idx="6">
                  <c:v>1212.2</c:v>
                </c:pt>
                <c:pt idx="7">
                  <c:v>1855.2</c:v>
                </c:pt>
                <c:pt idx="8">
                  <c:v>2724.7</c:v>
                </c:pt>
                <c:pt idx="9">
                  <c:v>4617</c:v>
                </c:pt>
                <c:pt idx="10">
                  <c:v>6901</c:v>
                </c:pt>
                <c:pt idx="11">
                  <c:v>11082.9</c:v>
                </c:pt>
                <c:pt idx="12">
                  <c:v>14547.5</c:v>
                </c:pt>
                <c:pt idx="13">
                  <c:v>22511.7</c:v>
                </c:pt>
                <c:pt idx="14">
                  <c:v>35451.1</c:v>
                </c:pt>
                <c:pt idx="15">
                  <c:v>49491</c:v>
                </c:pt>
                <c:pt idx="16">
                  <c:v>53960</c:v>
                </c:pt>
                <c:pt idx="17">
                  <c:v>60206</c:v>
                </c:pt>
                <c:pt idx="18">
                  <c:v>64245</c:v>
                </c:pt>
                <c:pt idx="19">
                  <c:v>74031</c:v>
                </c:pt>
                <c:pt idx="20">
                  <c:v>95918</c:v>
                </c:pt>
                <c:pt idx="21">
                  <c:v>115254</c:v>
                </c:pt>
                <c:pt idx="22">
                  <c:v>233573</c:v>
                </c:pt>
                <c:pt idx="23">
                  <c:v>480305</c:v>
                </c:pt>
                <c:pt idx="24">
                  <c:v>610914</c:v>
                </c:pt>
                <c:pt idx="25">
                  <c:v>722810</c:v>
                </c:pt>
                <c:pt idx="26">
                  <c:v>994015</c:v>
                </c:pt>
                <c:pt idx="27">
                  <c:v>1506443</c:v>
                </c:pt>
                <c:pt idx="28">
                  <c:v>2775814</c:v>
                </c:pt>
                <c:pt idx="29">
                  <c:v>4378377</c:v>
                </c:pt>
                <c:pt idx="30">
                  <c:v>9065976</c:v>
                </c:pt>
                <c:pt idx="31">
                  <c:v>19761415</c:v>
                </c:pt>
                <c:pt idx="32">
                  <c:v>45635000</c:v>
                </c:pt>
                <c:pt idx="33">
                  <c:v>108335000</c:v>
                </c:pt>
                <c:pt idx="34">
                  <c:v>348109000</c:v>
                </c:pt>
                <c:pt idx="35">
                  <c:v>1482700000</c:v>
                </c:pt>
                <c:pt idx="36">
                  <c:v>7117600000</c:v>
                </c:pt>
                <c:pt idx="37">
                  <c:v>33429200000</c:v>
                </c:pt>
                <c:pt idx="38">
                  <c:v>220898000000</c:v>
                </c:pt>
                <c:pt idx="39">
                  <c:v>4970200000000</c:v>
                </c:pt>
                <c:pt idx="40">
                  <c:v>128915600000000</c:v>
                </c:pt>
                <c:pt idx="41">
                  <c:v>66900000000000</c:v>
                </c:pt>
                <c:pt idx="42">
                  <c:v>2.459E+17</c:v>
                </c:pt>
                <c:pt idx="43">
                  <c:v>1.1916E+18</c:v>
                </c:pt>
                <c:pt idx="44">
                  <c:v>3.5270008000000001E+21</c:v>
                </c:pt>
              </c:numCache>
            </c:numRef>
          </c:val>
          <c:smooth val="0"/>
          <c:extLst xmlns:c16r2="http://schemas.microsoft.com/office/drawing/2015/06/chart">
            <c:ext xmlns:c16="http://schemas.microsoft.com/office/drawing/2014/chart" uri="{C3380CC4-5D6E-409C-BE32-E72D297353CC}">
              <c16:uniqueId val="{00000004-C1C8-43EB-A307-EAEBF566879E}"/>
            </c:ext>
          </c:extLst>
        </c:ser>
        <c:dLbls>
          <c:showLegendKey val="0"/>
          <c:showVal val="0"/>
          <c:showCatName val="0"/>
          <c:showSerName val="0"/>
          <c:showPercent val="0"/>
          <c:showBubbleSize val="0"/>
        </c:dLbls>
        <c:smooth val="0"/>
        <c:axId val="871024064"/>
        <c:axId val="871028416"/>
      </c:lineChart>
      <c:dateAx>
        <c:axId val="871024064"/>
        <c:scaling>
          <c:orientation val="minMax"/>
        </c:scaling>
        <c:delete val="0"/>
        <c:axPos val="b"/>
        <c:numFmt formatCode="d\-mmm\-yy" sourceLinked="1"/>
        <c:majorTickMark val="out"/>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71028416"/>
        <c:crosses val="autoZero"/>
        <c:auto val="1"/>
        <c:lblOffset val="100"/>
        <c:baseTimeUnit val="days"/>
        <c:majorUnit val="2"/>
        <c:majorTimeUnit val="months"/>
        <c:minorUnit val="2"/>
        <c:minorTimeUnit val="months"/>
      </c:dateAx>
      <c:valAx>
        <c:axId val="871028416"/>
        <c:scaling>
          <c:logBase val="10"/>
          <c:orientation val="minMax"/>
          <c:min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71024064"/>
        <c:crosses val="autoZero"/>
        <c:crossBetween val="midCat"/>
      </c:valAx>
      <c:spPr>
        <a:noFill/>
        <a:ln>
          <a:noFill/>
        </a:ln>
        <a:effectLst/>
      </c:spPr>
    </c:plotArea>
    <c:legend>
      <c:legendPos val="b"/>
      <c:layout>
        <c:manualLayout>
          <c:xMode val="edge"/>
          <c:yMode val="edge"/>
          <c:x val="0.19392586044091159"/>
          <c:y val="0.1966224874935629"/>
          <c:w val="0.35964143624900985"/>
          <c:h val="0.3874551659785965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ysClr val="windowText" lastClr="000000"/>
                </a:solidFill>
                <a:latin typeface="+mn-lt"/>
                <a:ea typeface="+mn-ea"/>
                <a:cs typeface="+mn-cs"/>
              </a:defRPr>
            </a:pPr>
            <a:r>
              <a:rPr lang="en-US" sz="1600" b="1">
                <a:solidFill>
                  <a:sysClr val="windowText" lastClr="000000"/>
                </a:solidFill>
              </a:rPr>
              <a:t>Chart 12: Note Circulation and Real</a:t>
            </a:r>
            <a:r>
              <a:rPr lang="en-US" sz="1600" b="1" baseline="0">
                <a:solidFill>
                  <a:sysClr val="windowText" lastClr="000000"/>
                </a:solidFill>
              </a:rPr>
              <a:t> Purchasing Power</a:t>
            </a:r>
            <a:endParaRPr lang="en-US" sz="1600"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'Tab 11'!$B$17</c:f>
              <c:strCache>
                <c:ptCount val="1"/>
                <c:pt idx="0">
                  <c:v>Monthly increase of note circulation (left)</c:v>
                </c:pt>
              </c:strCache>
            </c:strRef>
          </c:tx>
          <c:spPr>
            <a:solidFill>
              <a:schemeClr val="accent1"/>
            </a:solidFill>
            <a:ln>
              <a:noFill/>
            </a:ln>
            <a:effectLst/>
          </c:spPr>
          <c:invertIfNegative val="0"/>
          <c:cat>
            <c:numRef>
              <c:f>'Tab 11'!$A$18:$A$28</c:f>
              <c:numCache>
                <c:formatCode>mmm\-yy</c:formatCode>
                <c:ptCount val="11"/>
                <c:pt idx="0">
                  <c:v>16650</c:v>
                </c:pt>
                <c:pt idx="1">
                  <c:v>16681</c:v>
                </c:pt>
                <c:pt idx="2">
                  <c:v>16711</c:v>
                </c:pt>
                <c:pt idx="3">
                  <c:v>16742</c:v>
                </c:pt>
                <c:pt idx="4">
                  <c:v>16772</c:v>
                </c:pt>
                <c:pt idx="5">
                  <c:v>16803</c:v>
                </c:pt>
                <c:pt idx="6">
                  <c:v>16834</c:v>
                </c:pt>
                <c:pt idx="7">
                  <c:v>16862</c:v>
                </c:pt>
                <c:pt idx="8">
                  <c:v>16893</c:v>
                </c:pt>
                <c:pt idx="9">
                  <c:v>16923</c:v>
                </c:pt>
                <c:pt idx="10">
                  <c:v>16954</c:v>
                </c:pt>
              </c:numCache>
            </c:numRef>
          </c:cat>
          <c:val>
            <c:numRef>
              <c:f>'Tab 11'!$B$18:$B$28</c:f>
              <c:numCache>
                <c:formatCode>General</c:formatCode>
                <c:ptCount val="11"/>
                <c:pt idx="0">
                  <c:v>49.5</c:v>
                </c:pt>
                <c:pt idx="1">
                  <c:v>71.7</c:v>
                </c:pt>
                <c:pt idx="2">
                  <c:v>154.9</c:v>
                </c:pt>
                <c:pt idx="3">
                  <c:v>232.7</c:v>
                </c:pt>
                <c:pt idx="4">
                  <c:v>115.3</c:v>
                </c:pt>
                <c:pt idx="5">
                  <c:v>115.1</c:v>
                </c:pt>
                <c:pt idx="6">
                  <c:v>218.1</c:v>
                </c:pt>
                <c:pt idx="7">
                  <c:v>549.20000000000005</c:v>
                </c:pt>
                <c:pt idx="8">
                  <c:v>1177.3</c:v>
                </c:pt>
                <c:pt idx="9">
                  <c:v>15002.1</c:v>
                </c:pt>
                <c:pt idx="10">
                  <c:v>9450949.6999999993</c:v>
                </c:pt>
              </c:numCache>
            </c:numRef>
          </c:val>
          <c:extLst xmlns:c16r2="http://schemas.microsoft.com/office/drawing/2015/06/chart">
            <c:ext xmlns:c16="http://schemas.microsoft.com/office/drawing/2014/chart" uri="{C3380CC4-5D6E-409C-BE32-E72D297353CC}">
              <c16:uniqueId val="{00000000-4800-4A0D-A000-05B20930D268}"/>
            </c:ext>
          </c:extLst>
        </c:ser>
        <c:dLbls>
          <c:showLegendKey val="0"/>
          <c:showVal val="0"/>
          <c:showCatName val="0"/>
          <c:showSerName val="0"/>
          <c:showPercent val="0"/>
          <c:showBubbleSize val="0"/>
        </c:dLbls>
        <c:gapWidth val="150"/>
        <c:axId val="871025152"/>
        <c:axId val="871021888"/>
      </c:barChart>
      <c:lineChart>
        <c:grouping val="standard"/>
        <c:varyColors val="0"/>
        <c:ser>
          <c:idx val="1"/>
          <c:order val="1"/>
          <c:tx>
            <c:strRef>
              <c:f>'Tab 11'!$C$17</c:f>
              <c:strCache>
                <c:ptCount val="1"/>
                <c:pt idx="0">
                  <c:v>Additional real purchasing power of 1 mn pengo (right)</c:v>
                </c:pt>
              </c:strCache>
            </c:strRef>
          </c:tx>
          <c:spPr>
            <a:ln w="28575" cap="rnd">
              <a:solidFill>
                <a:schemeClr val="accent2"/>
              </a:solidFill>
              <a:round/>
            </a:ln>
            <a:effectLst/>
          </c:spPr>
          <c:marker>
            <c:symbol val="none"/>
          </c:marker>
          <c:cat>
            <c:numRef>
              <c:f>'Tab 11'!$A$18:$A$28</c:f>
              <c:numCache>
                <c:formatCode>mmm\-yy</c:formatCode>
                <c:ptCount val="11"/>
                <c:pt idx="0">
                  <c:v>16650</c:v>
                </c:pt>
                <c:pt idx="1">
                  <c:v>16681</c:v>
                </c:pt>
                <c:pt idx="2">
                  <c:v>16711</c:v>
                </c:pt>
                <c:pt idx="3">
                  <c:v>16742</c:v>
                </c:pt>
                <c:pt idx="4">
                  <c:v>16772</c:v>
                </c:pt>
                <c:pt idx="5">
                  <c:v>16803</c:v>
                </c:pt>
                <c:pt idx="6">
                  <c:v>16834</c:v>
                </c:pt>
                <c:pt idx="7">
                  <c:v>16862</c:v>
                </c:pt>
                <c:pt idx="8">
                  <c:v>16893</c:v>
                </c:pt>
                <c:pt idx="9">
                  <c:v>16923</c:v>
                </c:pt>
                <c:pt idx="10">
                  <c:v>16954</c:v>
                </c:pt>
              </c:numCache>
            </c:numRef>
          </c:cat>
          <c:val>
            <c:numRef>
              <c:f>'Tab 11'!$C$18:$C$28</c:f>
              <c:numCache>
                <c:formatCode>General</c:formatCode>
                <c:ptCount val="11"/>
                <c:pt idx="0">
                  <c:v>56.5</c:v>
                </c:pt>
                <c:pt idx="1">
                  <c:v>69.3</c:v>
                </c:pt>
                <c:pt idx="2">
                  <c:v>43.9</c:v>
                </c:pt>
                <c:pt idx="3">
                  <c:v>27.3</c:v>
                </c:pt>
                <c:pt idx="4">
                  <c:v>13.5</c:v>
                </c:pt>
                <c:pt idx="5">
                  <c:v>14.8</c:v>
                </c:pt>
                <c:pt idx="6">
                  <c:v>14.9</c:v>
                </c:pt>
                <c:pt idx="7">
                  <c:v>26.9</c:v>
                </c:pt>
                <c:pt idx="8">
                  <c:v>21.3</c:v>
                </c:pt>
                <c:pt idx="9">
                  <c:v>12.3</c:v>
                </c:pt>
                <c:pt idx="10">
                  <c:v>4.3</c:v>
                </c:pt>
              </c:numCache>
            </c:numRef>
          </c:val>
          <c:smooth val="0"/>
          <c:extLst xmlns:c16r2="http://schemas.microsoft.com/office/drawing/2015/06/chart">
            <c:ext xmlns:c16="http://schemas.microsoft.com/office/drawing/2014/chart" uri="{C3380CC4-5D6E-409C-BE32-E72D297353CC}">
              <c16:uniqueId val="{00000001-4800-4A0D-A000-05B20930D268}"/>
            </c:ext>
          </c:extLst>
        </c:ser>
        <c:dLbls>
          <c:showLegendKey val="0"/>
          <c:showVal val="0"/>
          <c:showCatName val="0"/>
          <c:showSerName val="0"/>
          <c:showPercent val="0"/>
          <c:showBubbleSize val="0"/>
        </c:dLbls>
        <c:marker val="1"/>
        <c:smooth val="0"/>
        <c:axId val="871030592"/>
        <c:axId val="871031680"/>
      </c:lineChart>
      <c:dateAx>
        <c:axId val="87102515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71021888"/>
        <c:crosses val="autoZero"/>
        <c:auto val="1"/>
        <c:lblOffset val="100"/>
        <c:baseTimeUnit val="months"/>
      </c:dateAx>
      <c:valAx>
        <c:axId val="871021888"/>
        <c:scaling>
          <c:logBase val="10"/>
          <c:orientation val="minMax"/>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71025152"/>
        <c:crosses val="autoZero"/>
        <c:crossBetween val="between"/>
      </c:valAx>
      <c:valAx>
        <c:axId val="871031680"/>
        <c:scaling>
          <c:orientation val="minMax"/>
        </c:scaling>
        <c:delete val="0"/>
        <c:axPos val="r"/>
        <c:numFmt formatCode="General"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71030592"/>
        <c:crosses val="max"/>
        <c:crossBetween val="between"/>
      </c:valAx>
      <c:dateAx>
        <c:axId val="871030592"/>
        <c:scaling>
          <c:orientation val="minMax"/>
        </c:scaling>
        <c:delete val="1"/>
        <c:axPos val="b"/>
        <c:numFmt formatCode="mmm\-yy" sourceLinked="1"/>
        <c:majorTickMark val="out"/>
        <c:minorTickMark val="none"/>
        <c:tickLblPos val="nextTo"/>
        <c:crossAx val="871031680"/>
        <c:crosses val="autoZero"/>
        <c:auto val="1"/>
        <c:lblOffset val="100"/>
        <c:baseTimeUnit val="months"/>
      </c:date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solidFill>
                <a:latin typeface="+mn-lt"/>
                <a:ea typeface="+mn-ea"/>
                <a:cs typeface="+mn-cs"/>
              </a:defRPr>
            </a:pPr>
            <a:r>
              <a:rPr lang="en-US" sz="2000" b="1">
                <a:solidFill>
                  <a:schemeClr val="tx1"/>
                </a:solidFill>
              </a:rPr>
              <a:t>Tax Pengo</a:t>
            </a:r>
            <a:r>
              <a:rPr lang="en-US" sz="2000" b="1" baseline="0">
                <a:solidFill>
                  <a:schemeClr val="tx1"/>
                </a:solidFill>
              </a:rPr>
              <a:t> Chart - Log Scale</a:t>
            </a:r>
            <a:endParaRPr lang="en-US" sz="2000" b="1">
              <a:solidFill>
                <a:schemeClr val="tx1"/>
              </a:solidFill>
            </a:endParaRPr>
          </a:p>
        </c:rich>
      </c:tx>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2010079575707737"/>
          <c:y val="9.4268123407129784E-2"/>
          <c:w val="0.86529460825915516"/>
          <c:h val="0.82648237683237158"/>
        </c:manualLayout>
      </c:layout>
      <c:lineChart>
        <c:grouping val="standard"/>
        <c:varyColors val="0"/>
        <c:ser>
          <c:idx val="0"/>
          <c:order val="0"/>
          <c:spPr>
            <a:ln w="50800" cap="rnd">
              <a:solidFill>
                <a:schemeClr val="accent1"/>
              </a:solidFill>
              <a:round/>
            </a:ln>
            <a:effectLst/>
          </c:spPr>
          <c:marker>
            <c:symbol val="none"/>
          </c:marker>
          <c:cat>
            <c:numRef>
              <c:f>'Tab 2'!$A$5:$A$204</c:f>
              <c:numCache>
                <c:formatCode>m/d/yyyy</c:formatCode>
                <c:ptCount val="200"/>
                <c:pt idx="0">
                  <c:v>16803</c:v>
                </c:pt>
                <c:pt idx="1">
                  <c:v>16804</c:v>
                </c:pt>
                <c:pt idx="2">
                  <c:v>16805</c:v>
                </c:pt>
                <c:pt idx="3">
                  <c:v>16806</c:v>
                </c:pt>
                <c:pt idx="4">
                  <c:v>16807</c:v>
                </c:pt>
                <c:pt idx="5">
                  <c:v>16808</c:v>
                </c:pt>
                <c:pt idx="6">
                  <c:v>16809</c:v>
                </c:pt>
                <c:pt idx="7">
                  <c:v>16810</c:v>
                </c:pt>
                <c:pt idx="8">
                  <c:v>16811</c:v>
                </c:pt>
                <c:pt idx="9">
                  <c:v>16812</c:v>
                </c:pt>
                <c:pt idx="10">
                  <c:v>16813</c:v>
                </c:pt>
                <c:pt idx="11">
                  <c:v>16814</c:v>
                </c:pt>
                <c:pt idx="12">
                  <c:v>16815</c:v>
                </c:pt>
                <c:pt idx="13">
                  <c:v>16816</c:v>
                </c:pt>
                <c:pt idx="14">
                  <c:v>16817</c:v>
                </c:pt>
                <c:pt idx="15">
                  <c:v>16818</c:v>
                </c:pt>
                <c:pt idx="16">
                  <c:v>16819</c:v>
                </c:pt>
                <c:pt idx="17">
                  <c:v>16820</c:v>
                </c:pt>
                <c:pt idx="18">
                  <c:v>16821</c:v>
                </c:pt>
                <c:pt idx="19">
                  <c:v>16822</c:v>
                </c:pt>
                <c:pt idx="20">
                  <c:v>16823</c:v>
                </c:pt>
                <c:pt idx="21">
                  <c:v>16824</c:v>
                </c:pt>
                <c:pt idx="22">
                  <c:v>16825</c:v>
                </c:pt>
                <c:pt idx="23">
                  <c:v>16826</c:v>
                </c:pt>
                <c:pt idx="24">
                  <c:v>16827</c:v>
                </c:pt>
                <c:pt idx="25">
                  <c:v>16828</c:v>
                </c:pt>
                <c:pt idx="26">
                  <c:v>16829</c:v>
                </c:pt>
                <c:pt idx="27">
                  <c:v>16830</c:v>
                </c:pt>
                <c:pt idx="28">
                  <c:v>16831</c:v>
                </c:pt>
                <c:pt idx="29">
                  <c:v>16832</c:v>
                </c:pt>
                <c:pt idx="30">
                  <c:v>16833</c:v>
                </c:pt>
                <c:pt idx="31">
                  <c:v>16834</c:v>
                </c:pt>
                <c:pt idx="32">
                  <c:v>16835</c:v>
                </c:pt>
                <c:pt idx="33">
                  <c:v>16836</c:v>
                </c:pt>
                <c:pt idx="34">
                  <c:v>16837</c:v>
                </c:pt>
                <c:pt idx="35">
                  <c:v>16838</c:v>
                </c:pt>
                <c:pt idx="36">
                  <c:v>16839</c:v>
                </c:pt>
                <c:pt idx="37">
                  <c:v>16840</c:v>
                </c:pt>
                <c:pt idx="38">
                  <c:v>16841</c:v>
                </c:pt>
                <c:pt idx="39">
                  <c:v>16842</c:v>
                </c:pt>
                <c:pt idx="40">
                  <c:v>16843</c:v>
                </c:pt>
                <c:pt idx="41">
                  <c:v>16844</c:v>
                </c:pt>
                <c:pt idx="42">
                  <c:v>16845</c:v>
                </c:pt>
                <c:pt idx="43">
                  <c:v>16846</c:v>
                </c:pt>
                <c:pt idx="44">
                  <c:v>16847</c:v>
                </c:pt>
                <c:pt idx="45">
                  <c:v>16848</c:v>
                </c:pt>
                <c:pt idx="46">
                  <c:v>16849</c:v>
                </c:pt>
                <c:pt idx="47">
                  <c:v>16850</c:v>
                </c:pt>
                <c:pt idx="48">
                  <c:v>16851</c:v>
                </c:pt>
                <c:pt idx="49">
                  <c:v>16852</c:v>
                </c:pt>
                <c:pt idx="50">
                  <c:v>16853</c:v>
                </c:pt>
                <c:pt idx="51">
                  <c:v>16854</c:v>
                </c:pt>
                <c:pt idx="52">
                  <c:v>16855</c:v>
                </c:pt>
                <c:pt idx="53">
                  <c:v>16856</c:v>
                </c:pt>
                <c:pt idx="54">
                  <c:v>16857</c:v>
                </c:pt>
                <c:pt idx="55">
                  <c:v>16858</c:v>
                </c:pt>
                <c:pt idx="56">
                  <c:v>16859</c:v>
                </c:pt>
                <c:pt idx="57">
                  <c:v>16860</c:v>
                </c:pt>
                <c:pt idx="58">
                  <c:v>16861</c:v>
                </c:pt>
                <c:pt idx="59">
                  <c:v>16862</c:v>
                </c:pt>
                <c:pt idx="60">
                  <c:v>16863</c:v>
                </c:pt>
                <c:pt idx="61">
                  <c:v>16864</c:v>
                </c:pt>
                <c:pt idx="62">
                  <c:v>16865</c:v>
                </c:pt>
                <c:pt idx="63">
                  <c:v>16866</c:v>
                </c:pt>
                <c:pt idx="64">
                  <c:v>16867</c:v>
                </c:pt>
                <c:pt idx="65">
                  <c:v>16868</c:v>
                </c:pt>
                <c:pt idx="66">
                  <c:v>16869</c:v>
                </c:pt>
                <c:pt idx="67">
                  <c:v>16870</c:v>
                </c:pt>
                <c:pt idx="68">
                  <c:v>16871</c:v>
                </c:pt>
                <c:pt idx="69">
                  <c:v>16872</c:v>
                </c:pt>
                <c:pt idx="70">
                  <c:v>16873</c:v>
                </c:pt>
                <c:pt idx="71">
                  <c:v>16874</c:v>
                </c:pt>
                <c:pt idx="72">
                  <c:v>16875</c:v>
                </c:pt>
                <c:pt idx="73">
                  <c:v>16876</c:v>
                </c:pt>
                <c:pt idx="74">
                  <c:v>16877</c:v>
                </c:pt>
                <c:pt idx="75">
                  <c:v>16878</c:v>
                </c:pt>
                <c:pt idx="76">
                  <c:v>16879</c:v>
                </c:pt>
                <c:pt idx="77">
                  <c:v>16880</c:v>
                </c:pt>
                <c:pt idx="78">
                  <c:v>16881</c:v>
                </c:pt>
                <c:pt idx="79">
                  <c:v>16882</c:v>
                </c:pt>
                <c:pt idx="80">
                  <c:v>16883</c:v>
                </c:pt>
                <c:pt idx="81">
                  <c:v>16884</c:v>
                </c:pt>
                <c:pt idx="82">
                  <c:v>16885</c:v>
                </c:pt>
                <c:pt idx="83">
                  <c:v>16886</c:v>
                </c:pt>
                <c:pt idx="84">
                  <c:v>16887</c:v>
                </c:pt>
                <c:pt idx="85">
                  <c:v>16888</c:v>
                </c:pt>
                <c:pt idx="86">
                  <c:v>16889</c:v>
                </c:pt>
                <c:pt idx="87">
                  <c:v>16890</c:v>
                </c:pt>
                <c:pt idx="88">
                  <c:v>16891</c:v>
                </c:pt>
                <c:pt idx="89">
                  <c:v>16892</c:v>
                </c:pt>
                <c:pt idx="90">
                  <c:v>16893</c:v>
                </c:pt>
                <c:pt idx="91">
                  <c:v>16894</c:v>
                </c:pt>
                <c:pt idx="92">
                  <c:v>16895</c:v>
                </c:pt>
                <c:pt idx="93">
                  <c:v>16896</c:v>
                </c:pt>
                <c:pt idx="94">
                  <c:v>16897</c:v>
                </c:pt>
                <c:pt idx="95">
                  <c:v>16898</c:v>
                </c:pt>
                <c:pt idx="96">
                  <c:v>16899</c:v>
                </c:pt>
                <c:pt idx="97">
                  <c:v>16900</c:v>
                </c:pt>
                <c:pt idx="98">
                  <c:v>16901</c:v>
                </c:pt>
                <c:pt idx="99">
                  <c:v>16902</c:v>
                </c:pt>
                <c:pt idx="100">
                  <c:v>16903</c:v>
                </c:pt>
                <c:pt idx="101">
                  <c:v>16904</c:v>
                </c:pt>
                <c:pt idx="102">
                  <c:v>16905</c:v>
                </c:pt>
                <c:pt idx="103">
                  <c:v>16906</c:v>
                </c:pt>
                <c:pt idx="104">
                  <c:v>16907</c:v>
                </c:pt>
                <c:pt idx="105">
                  <c:v>16908</c:v>
                </c:pt>
                <c:pt idx="106">
                  <c:v>16909</c:v>
                </c:pt>
                <c:pt idx="107">
                  <c:v>16910</c:v>
                </c:pt>
                <c:pt idx="108">
                  <c:v>16911</c:v>
                </c:pt>
                <c:pt idx="109">
                  <c:v>16912</c:v>
                </c:pt>
                <c:pt idx="110">
                  <c:v>16913</c:v>
                </c:pt>
                <c:pt idx="111">
                  <c:v>16914</c:v>
                </c:pt>
                <c:pt idx="112">
                  <c:v>16915</c:v>
                </c:pt>
                <c:pt idx="113">
                  <c:v>16916</c:v>
                </c:pt>
                <c:pt idx="114">
                  <c:v>16917</c:v>
                </c:pt>
                <c:pt idx="115">
                  <c:v>16918</c:v>
                </c:pt>
                <c:pt idx="116">
                  <c:v>16919</c:v>
                </c:pt>
                <c:pt idx="117">
                  <c:v>16920</c:v>
                </c:pt>
                <c:pt idx="118">
                  <c:v>16921</c:v>
                </c:pt>
                <c:pt idx="119">
                  <c:v>16922</c:v>
                </c:pt>
                <c:pt idx="120">
                  <c:v>16923</c:v>
                </c:pt>
                <c:pt idx="121">
                  <c:v>16924</c:v>
                </c:pt>
                <c:pt idx="122">
                  <c:v>16925</c:v>
                </c:pt>
                <c:pt idx="123">
                  <c:v>16926</c:v>
                </c:pt>
                <c:pt idx="124">
                  <c:v>16927</c:v>
                </c:pt>
                <c:pt idx="125">
                  <c:v>16928</c:v>
                </c:pt>
                <c:pt idx="126">
                  <c:v>16929</c:v>
                </c:pt>
                <c:pt idx="127">
                  <c:v>16930</c:v>
                </c:pt>
                <c:pt idx="128">
                  <c:v>16931</c:v>
                </c:pt>
                <c:pt idx="129">
                  <c:v>16932</c:v>
                </c:pt>
                <c:pt idx="130">
                  <c:v>16933</c:v>
                </c:pt>
                <c:pt idx="131">
                  <c:v>16934</c:v>
                </c:pt>
                <c:pt idx="132">
                  <c:v>16935</c:v>
                </c:pt>
                <c:pt idx="133">
                  <c:v>16936</c:v>
                </c:pt>
                <c:pt idx="134">
                  <c:v>16937</c:v>
                </c:pt>
                <c:pt idx="135">
                  <c:v>16938</c:v>
                </c:pt>
                <c:pt idx="136">
                  <c:v>16939</c:v>
                </c:pt>
                <c:pt idx="137">
                  <c:v>16940</c:v>
                </c:pt>
                <c:pt idx="138">
                  <c:v>16941</c:v>
                </c:pt>
                <c:pt idx="139">
                  <c:v>16943</c:v>
                </c:pt>
                <c:pt idx="140">
                  <c:v>16944</c:v>
                </c:pt>
                <c:pt idx="141">
                  <c:v>16945</c:v>
                </c:pt>
                <c:pt idx="142">
                  <c:v>16946</c:v>
                </c:pt>
                <c:pt idx="143">
                  <c:v>16947</c:v>
                </c:pt>
                <c:pt idx="144">
                  <c:v>16949</c:v>
                </c:pt>
                <c:pt idx="145">
                  <c:v>16950</c:v>
                </c:pt>
                <c:pt idx="146">
                  <c:v>16951</c:v>
                </c:pt>
                <c:pt idx="147">
                  <c:v>16953</c:v>
                </c:pt>
                <c:pt idx="148">
                  <c:v>16954</c:v>
                </c:pt>
                <c:pt idx="149">
                  <c:v>16956</c:v>
                </c:pt>
                <c:pt idx="150">
                  <c:v>16957</c:v>
                </c:pt>
                <c:pt idx="151">
                  <c:v>16958</c:v>
                </c:pt>
                <c:pt idx="152">
                  <c:v>16959</c:v>
                </c:pt>
                <c:pt idx="153">
                  <c:v>16960</c:v>
                </c:pt>
                <c:pt idx="154">
                  <c:v>16961</c:v>
                </c:pt>
                <c:pt idx="155">
                  <c:v>16964</c:v>
                </c:pt>
                <c:pt idx="156">
                  <c:v>16965</c:v>
                </c:pt>
                <c:pt idx="157">
                  <c:v>16966</c:v>
                </c:pt>
                <c:pt idx="158">
                  <c:v>16967</c:v>
                </c:pt>
                <c:pt idx="159">
                  <c:v>16968</c:v>
                </c:pt>
                <c:pt idx="160">
                  <c:v>16969</c:v>
                </c:pt>
                <c:pt idx="161">
                  <c:v>16970</c:v>
                </c:pt>
                <c:pt idx="162">
                  <c:v>16971</c:v>
                </c:pt>
                <c:pt idx="163">
                  <c:v>16972</c:v>
                </c:pt>
                <c:pt idx="164">
                  <c:v>16973</c:v>
                </c:pt>
                <c:pt idx="165">
                  <c:v>16974</c:v>
                </c:pt>
                <c:pt idx="166">
                  <c:v>16975</c:v>
                </c:pt>
                <c:pt idx="167">
                  <c:v>16976</c:v>
                </c:pt>
                <c:pt idx="168">
                  <c:v>16977</c:v>
                </c:pt>
                <c:pt idx="169">
                  <c:v>16978</c:v>
                </c:pt>
                <c:pt idx="170">
                  <c:v>16979</c:v>
                </c:pt>
                <c:pt idx="171">
                  <c:v>16980</c:v>
                </c:pt>
                <c:pt idx="172">
                  <c:v>16981</c:v>
                </c:pt>
                <c:pt idx="173">
                  <c:v>16982</c:v>
                </c:pt>
                <c:pt idx="174">
                  <c:v>16983</c:v>
                </c:pt>
                <c:pt idx="175">
                  <c:v>16984</c:v>
                </c:pt>
                <c:pt idx="176">
                  <c:v>16985</c:v>
                </c:pt>
                <c:pt idx="177">
                  <c:v>16986</c:v>
                </c:pt>
                <c:pt idx="178">
                  <c:v>16987</c:v>
                </c:pt>
                <c:pt idx="179">
                  <c:v>16988</c:v>
                </c:pt>
                <c:pt idx="180">
                  <c:v>16989</c:v>
                </c:pt>
                <c:pt idx="181">
                  <c:v>16990</c:v>
                </c:pt>
                <c:pt idx="182">
                  <c:v>16991</c:v>
                </c:pt>
                <c:pt idx="183">
                  <c:v>16992</c:v>
                </c:pt>
                <c:pt idx="184">
                  <c:v>16994</c:v>
                </c:pt>
                <c:pt idx="185">
                  <c:v>16995</c:v>
                </c:pt>
                <c:pt idx="186">
                  <c:v>16996</c:v>
                </c:pt>
                <c:pt idx="187">
                  <c:v>16998</c:v>
                </c:pt>
                <c:pt idx="188">
                  <c:v>16999</c:v>
                </c:pt>
                <c:pt idx="189">
                  <c:v>17000</c:v>
                </c:pt>
                <c:pt idx="190">
                  <c:v>17001</c:v>
                </c:pt>
                <c:pt idx="191">
                  <c:v>17002</c:v>
                </c:pt>
                <c:pt idx="192">
                  <c:v>17003</c:v>
                </c:pt>
                <c:pt idx="193">
                  <c:v>17005</c:v>
                </c:pt>
                <c:pt idx="194">
                  <c:v>17006</c:v>
                </c:pt>
                <c:pt idx="195">
                  <c:v>17007</c:v>
                </c:pt>
                <c:pt idx="196">
                  <c:v>17008</c:v>
                </c:pt>
                <c:pt idx="197">
                  <c:v>17009</c:v>
                </c:pt>
                <c:pt idx="198">
                  <c:v>17010</c:v>
                </c:pt>
                <c:pt idx="199">
                  <c:v>17012</c:v>
                </c:pt>
              </c:numCache>
            </c:numRef>
          </c:cat>
          <c:val>
            <c:numRef>
              <c:f>'Tab 2'!$B$5:$B$204</c:f>
              <c:numCache>
                <c:formatCode>General</c:formatCode>
                <c:ptCount val="200"/>
                <c:pt idx="0">
                  <c:v>1</c:v>
                </c:pt>
                <c:pt idx="1">
                  <c:v>1</c:v>
                </c:pt>
                <c:pt idx="2">
                  <c:v>1</c:v>
                </c:pt>
                <c:pt idx="3">
                  <c:v>1</c:v>
                </c:pt>
                <c:pt idx="4">
                  <c:v>1.04</c:v>
                </c:pt>
                <c:pt idx="5">
                  <c:v>1.04</c:v>
                </c:pt>
                <c:pt idx="6">
                  <c:v>1.08</c:v>
                </c:pt>
                <c:pt idx="7">
                  <c:v>1.0900000000000001</c:v>
                </c:pt>
                <c:pt idx="8">
                  <c:v>1.1000000000000001</c:v>
                </c:pt>
                <c:pt idx="9">
                  <c:v>1.1000000000000001</c:v>
                </c:pt>
                <c:pt idx="10">
                  <c:v>1.0900000000000001</c:v>
                </c:pt>
                <c:pt idx="11">
                  <c:v>1.08</c:v>
                </c:pt>
                <c:pt idx="12">
                  <c:v>1.07</c:v>
                </c:pt>
                <c:pt idx="13">
                  <c:v>1.08</c:v>
                </c:pt>
                <c:pt idx="14">
                  <c:v>1.08</c:v>
                </c:pt>
                <c:pt idx="15">
                  <c:v>1.1000000000000001</c:v>
                </c:pt>
                <c:pt idx="16">
                  <c:v>1.1499999999999999</c:v>
                </c:pt>
                <c:pt idx="17">
                  <c:v>1.17</c:v>
                </c:pt>
                <c:pt idx="18">
                  <c:v>1.23</c:v>
                </c:pt>
                <c:pt idx="19">
                  <c:v>1.28</c:v>
                </c:pt>
                <c:pt idx="20">
                  <c:v>1.28</c:v>
                </c:pt>
                <c:pt idx="21">
                  <c:v>1.33</c:v>
                </c:pt>
                <c:pt idx="22">
                  <c:v>1.35</c:v>
                </c:pt>
                <c:pt idx="23">
                  <c:v>1.41</c:v>
                </c:pt>
                <c:pt idx="24">
                  <c:v>1.44</c:v>
                </c:pt>
                <c:pt idx="25">
                  <c:v>1.5</c:v>
                </c:pt>
                <c:pt idx="26">
                  <c:v>1.55</c:v>
                </c:pt>
                <c:pt idx="27">
                  <c:v>1.55</c:v>
                </c:pt>
                <c:pt idx="28">
                  <c:v>1.56</c:v>
                </c:pt>
                <c:pt idx="29">
                  <c:v>1.63</c:v>
                </c:pt>
                <c:pt idx="30">
                  <c:v>1.64</c:v>
                </c:pt>
                <c:pt idx="31">
                  <c:v>1.7</c:v>
                </c:pt>
                <c:pt idx="32">
                  <c:v>1.7</c:v>
                </c:pt>
                <c:pt idx="33">
                  <c:v>1.7</c:v>
                </c:pt>
                <c:pt idx="34">
                  <c:v>1.7</c:v>
                </c:pt>
                <c:pt idx="35">
                  <c:v>1.7</c:v>
                </c:pt>
                <c:pt idx="36">
                  <c:v>1.96</c:v>
                </c:pt>
                <c:pt idx="37">
                  <c:v>2.16</c:v>
                </c:pt>
                <c:pt idx="38">
                  <c:v>2.29</c:v>
                </c:pt>
                <c:pt idx="39">
                  <c:v>2.36</c:v>
                </c:pt>
                <c:pt idx="40">
                  <c:v>2.42</c:v>
                </c:pt>
                <c:pt idx="41">
                  <c:v>2.42</c:v>
                </c:pt>
                <c:pt idx="42">
                  <c:v>2.4500000000000002</c:v>
                </c:pt>
                <c:pt idx="43">
                  <c:v>2.54</c:v>
                </c:pt>
                <c:pt idx="44">
                  <c:v>2.63</c:v>
                </c:pt>
                <c:pt idx="45">
                  <c:v>2.71</c:v>
                </c:pt>
                <c:pt idx="46">
                  <c:v>2.9</c:v>
                </c:pt>
                <c:pt idx="47">
                  <c:v>3.12</c:v>
                </c:pt>
                <c:pt idx="48">
                  <c:v>3.12</c:v>
                </c:pt>
                <c:pt idx="49">
                  <c:v>3.49</c:v>
                </c:pt>
                <c:pt idx="50">
                  <c:v>3.9</c:v>
                </c:pt>
                <c:pt idx="51">
                  <c:v>4.17</c:v>
                </c:pt>
                <c:pt idx="52">
                  <c:v>4.5599999999999996</c:v>
                </c:pt>
                <c:pt idx="53">
                  <c:v>5.39</c:v>
                </c:pt>
                <c:pt idx="54">
                  <c:v>6.25</c:v>
                </c:pt>
                <c:pt idx="55">
                  <c:v>6.25</c:v>
                </c:pt>
                <c:pt idx="56">
                  <c:v>7.16</c:v>
                </c:pt>
                <c:pt idx="57">
                  <c:v>8.82</c:v>
                </c:pt>
                <c:pt idx="58">
                  <c:v>9.85</c:v>
                </c:pt>
                <c:pt idx="59">
                  <c:v>10</c:v>
                </c:pt>
                <c:pt idx="60">
                  <c:v>10.64</c:v>
                </c:pt>
                <c:pt idx="61">
                  <c:v>10.64</c:v>
                </c:pt>
                <c:pt idx="62">
                  <c:v>12.15</c:v>
                </c:pt>
                <c:pt idx="63">
                  <c:v>12.9</c:v>
                </c:pt>
                <c:pt idx="64">
                  <c:v>13.3</c:v>
                </c:pt>
                <c:pt idx="65">
                  <c:v>13.92</c:v>
                </c:pt>
                <c:pt idx="66">
                  <c:v>14.4</c:v>
                </c:pt>
                <c:pt idx="67">
                  <c:v>14.7</c:v>
                </c:pt>
                <c:pt idx="68">
                  <c:v>14.7</c:v>
                </c:pt>
                <c:pt idx="69">
                  <c:v>14.9</c:v>
                </c:pt>
                <c:pt idx="70">
                  <c:v>16.3</c:v>
                </c:pt>
                <c:pt idx="71">
                  <c:v>16.8</c:v>
                </c:pt>
                <c:pt idx="72">
                  <c:v>17.2</c:v>
                </c:pt>
                <c:pt idx="73">
                  <c:v>18.399999999999999</c:v>
                </c:pt>
                <c:pt idx="74">
                  <c:v>18.399999999999999</c:v>
                </c:pt>
                <c:pt idx="75">
                  <c:v>19.2</c:v>
                </c:pt>
                <c:pt idx="76">
                  <c:v>19.2</c:v>
                </c:pt>
                <c:pt idx="77">
                  <c:v>20.3</c:v>
                </c:pt>
                <c:pt idx="78">
                  <c:v>21.9</c:v>
                </c:pt>
                <c:pt idx="79">
                  <c:v>23.9</c:v>
                </c:pt>
                <c:pt idx="80">
                  <c:v>24.8</c:v>
                </c:pt>
                <c:pt idx="81">
                  <c:v>27.6</c:v>
                </c:pt>
                <c:pt idx="82">
                  <c:v>30.2</c:v>
                </c:pt>
                <c:pt idx="83">
                  <c:v>30.2</c:v>
                </c:pt>
                <c:pt idx="84">
                  <c:v>30.2</c:v>
                </c:pt>
                <c:pt idx="85">
                  <c:v>33</c:v>
                </c:pt>
                <c:pt idx="86">
                  <c:v>35</c:v>
                </c:pt>
                <c:pt idx="87">
                  <c:v>38</c:v>
                </c:pt>
                <c:pt idx="88">
                  <c:v>42</c:v>
                </c:pt>
                <c:pt idx="89">
                  <c:v>44</c:v>
                </c:pt>
                <c:pt idx="90">
                  <c:v>44</c:v>
                </c:pt>
                <c:pt idx="91">
                  <c:v>51</c:v>
                </c:pt>
                <c:pt idx="92">
                  <c:v>56</c:v>
                </c:pt>
                <c:pt idx="93">
                  <c:v>59</c:v>
                </c:pt>
                <c:pt idx="94">
                  <c:v>59</c:v>
                </c:pt>
                <c:pt idx="95">
                  <c:v>67</c:v>
                </c:pt>
                <c:pt idx="96">
                  <c:v>76</c:v>
                </c:pt>
                <c:pt idx="97">
                  <c:v>76</c:v>
                </c:pt>
                <c:pt idx="98">
                  <c:v>86</c:v>
                </c:pt>
                <c:pt idx="99">
                  <c:v>91</c:v>
                </c:pt>
                <c:pt idx="100">
                  <c:v>102</c:v>
                </c:pt>
                <c:pt idx="101">
                  <c:v>106</c:v>
                </c:pt>
                <c:pt idx="102">
                  <c:v>120</c:v>
                </c:pt>
                <c:pt idx="103">
                  <c:v>133</c:v>
                </c:pt>
                <c:pt idx="104">
                  <c:v>133</c:v>
                </c:pt>
                <c:pt idx="105">
                  <c:v>155</c:v>
                </c:pt>
                <c:pt idx="106">
                  <c:v>170</c:v>
                </c:pt>
                <c:pt idx="107">
                  <c:v>194</c:v>
                </c:pt>
                <c:pt idx="108">
                  <c:v>215</c:v>
                </c:pt>
                <c:pt idx="109">
                  <c:v>232</c:v>
                </c:pt>
                <c:pt idx="110">
                  <c:v>260</c:v>
                </c:pt>
                <c:pt idx="111">
                  <c:v>260</c:v>
                </c:pt>
                <c:pt idx="112">
                  <c:v>260</c:v>
                </c:pt>
                <c:pt idx="113">
                  <c:v>320</c:v>
                </c:pt>
                <c:pt idx="114">
                  <c:v>395</c:v>
                </c:pt>
                <c:pt idx="115">
                  <c:v>415</c:v>
                </c:pt>
                <c:pt idx="116">
                  <c:v>460</c:v>
                </c:pt>
                <c:pt idx="117">
                  <c:v>520</c:v>
                </c:pt>
                <c:pt idx="118">
                  <c:v>520</c:v>
                </c:pt>
                <c:pt idx="119">
                  <c:v>570</c:v>
                </c:pt>
                <c:pt idx="120">
                  <c:v>630</c:v>
                </c:pt>
                <c:pt idx="121">
                  <c:v>630</c:v>
                </c:pt>
                <c:pt idx="122">
                  <c:v>780</c:v>
                </c:pt>
                <c:pt idx="123">
                  <c:v>910</c:v>
                </c:pt>
                <c:pt idx="124">
                  <c:v>1120</c:v>
                </c:pt>
                <c:pt idx="125">
                  <c:v>1120</c:v>
                </c:pt>
                <c:pt idx="126">
                  <c:v>1370</c:v>
                </c:pt>
                <c:pt idx="127">
                  <c:v>1570</c:v>
                </c:pt>
                <c:pt idx="128">
                  <c:v>1730</c:v>
                </c:pt>
                <c:pt idx="129">
                  <c:v>2120</c:v>
                </c:pt>
                <c:pt idx="130">
                  <c:v>2560</c:v>
                </c:pt>
                <c:pt idx="131">
                  <c:v>2950</c:v>
                </c:pt>
                <c:pt idx="132">
                  <c:v>2950</c:v>
                </c:pt>
                <c:pt idx="133">
                  <c:v>3700</c:v>
                </c:pt>
                <c:pt idx="134">
                  <c:v>4440</c:v>
                </c:pt>
                <c:pt idx="135">
                  <c:v>5100</c:v>
                </c:pt>
                <c:pt idx="136">
                  <c:v>6500</c:v>
                </c:pt>
                <c:pt idx="137">
                  <c:v>8400</c:v>
                </c:pt>
                <c:pt idx="138">
                  <c:v>10900</c:v>
                </c:pt>
                <c:pt idx="139">
                  <c:v>14500</c:v>
                </c:pt>
                <c:pt idx="140">
                  <c:v>17400</c:v>
                </c:pt>
                <c:pt idx="141">
                  <c:v>21400</c:v>
                </c:pt>
                <c:pt idx="142">
                  <c:v>29300</c:v>
                </c:pt>
                <c:pt idx="143">
                  <c:v>40000</c:v>
                </c:pt>
                <c:pt idx="144">
                  <c:v>50000</c:v>
                </c:pt>
                <c:pt idx="145">
                  <c:v>71000</c:v>
                </c:pt>
                <c:pt idx="146">
                  <c:v>85000</c:v>
                </c:pt>
                <c:pt idx="147">
                  <c:v>108000</c:v>
                </c:pt>
                <c:pt idx="148">
                  <c:v>198000</c:v>
                </c:pt>
                <c:pt idx="149">
                  <c:v>160000</c:v>
                </c:pt>
                <c:pt idx="150">
                  <c:v>240000</c:v>
                </c:pt>
                <c:pt idx="151">
                  <c:v>310000</c:v>
                </c:pt>
                <c:pt idx="152">
                  <c:v>405000</c:v>
                </c:pt>
                <c:pt idx="153">
                  <c:v>610000</c:v>
                </c:pt>
                <c:pt idx="154">
                  <c:v>860000</c:v>
                </c:pt>
                <c:pt idx="155">
                  <c:v>1120000</c:v>
                </c:pt>
                <c:pt idx="156">
                  <c:v>1770000</c:v>
                </c:pt>
                <c:pt idx="157">
                  <c:v>2400000</c:v>
                </c:pt>
                <c:pt idx="158">
                  <c:v>3600000</c:v>
                </c:pt>
                <c:pt idx="159">
                  <c:v>5600000</c:v>
                </c:pt>
                <c:pt idx="160">
                  <c:v>8320000</c:v>
                </c:pt>
                <c:pt idx="161">
                  <c:v>8320000</c:v>
                </c:pt>
                <c:pt idx="162">
                  <c:v>14500000</c:v>
                </c:pt>
                <c:pt idx="163">
                  <c:v>22000000</c:v>
                </c:pt>
                <c:pt idx="164">
                  <c:v>22000000</c:v>
                </c:pt>
                <c:pt idx="165">
                  <c:v>40000000</c:v>
                </c:pt>
                <c:pt idx="166">
                  <c:v>90000000</c:v>
                </c:pt>
                <c:pt idx="167">
                  <c:v>90000000</c:v>
                </c:pt>
                <c:pt idx="168">
                  <c:v>150000000</c:v>
                </c:pt>
                <c:pt idx="169">
                  <c:v>290000000</c:v>
                </c:pt>
                <c:pt idx="170">
                  <c:v>530000000</c:v>
                </c:pt>
                <c:pt idx="171">
                  <c:v>1100000000</c:v>
                </c:pt>
                <c:pt idx="172">
                  <c:v>3000000000</c:v>
                </c:pt>
                <c:pt idx="173">
                  <c:v>7500000000</c:v>
                </c:pt>
                <c:pt idx="174">
                  <c:v>750000000</c:v>
                </c:pt>
                <c:pt idx="175">
                  <c:v>7500000000</c:v>
                </c:pt>
                <c:pt idx="176">
                  <c:v>27000000000</c:v>
                </c:pt>
                <c:pt idx="177">
                  <c:v>95000000000</c:v>
                </c:pt>
                <c:pt idx="178">
                  <c:v>340000000000</c:v>
                </c:pt>
                <c:pt idx="179">
                  <c:v>12000000000000</c:v>
                </c:pt>
                <c:pt idx="180">
                  <c:v>3900000000000</c:v>
                </c:pt>
                <c:pt idx="181">
                  <c:v>12000000000000</c:v>
                </c:pt>
                <c:pt idx="182">
                  <c:v>50000000000000</c:v>
                </c:pt>
                <c:pt idx="183">
                  <c:v>200000000000000</c:v>
                </c:pt>
                <c:pt idx="184">
                  <c:v>600000000000000</c:v>
                </c:pt>
                <c:pt idx="185">
                  <c:v>1600000000000000</c:v>
                </c:pt>
                <c:pt idx="186">
                  <c:v>4500000000000000</c:v>
                </c:pt>
                <c:pt idx="187">
                  <c:v>1.35E+16</c:v>
                </c:pt>
                <c:pt idx="188">
                  <c:v>4E+16</c:v>
                </c:pt>
                <c:pt idx="189">
                  <c:v>1.2E+17</c:v>
                </c:pt>
                <c:pt idx="190">
                  <c:v>3.6E+17</c:v>
                </c:pt>
                <c:pt idx="191">
                  <c:v>1.1E+18</c:v>
                </c:pt>
                <c:pt idx="192">
                  <c:v>2.5E+18</c:v>
                </c:pt>
                <c:pt idx="193">
                  <c:v>7E+18</c:v>
                </c:pt>
                <c:pt idx="194">
                  <c:v>2E+19</c:v>
                </c:pt>
                <c:pt idx="195">
                  <c:v>5E+19</c:v>
                </c:pt>
                <c:pt idx="196">
                  <c:v>1.2E+20</c:v>
                </c:pt>
                <c:pt idx="197">
                  <c:v>3E+20</c:v>
                </c:pt>
                <c:pt idx="198">
                  <c:v>7E+20</c:v>
                </c:pt>
                <c:pt idx="199">
                  <c:v>2E+21</c:v>
                </c:pt>
              </c:numCache>
            </c:numRef>
          </c:val>
          <c:smooth val="0"/>
          <c:extLst xmlns:c16r2="http://schemas.microsoft.com/office/drawing/2015/06/chart">
            <c:ext xmlns:c16="http://schemas.microsoft.com/office/drawing/2014/chart" uri="{C3380CC4-5D6E-409C-BE32-E72D297353CC}">
              <c16:uniqueId val="{00000000-CDC6-4196-B49D-9DB7F3A832FB}"/>
            </c:ext>
          </c:extLst>
        </c:ser>
        <c:dLbls>
          <c:showLegendKey val="0"/>
          <c:showVal val="0"/>
          <c:showCatName val="0"/>
          <c:showSerName val="0"/>
          <c:showPercent val="0"/>
          <c:showBubbleSize val="0"/>
        </c:dLbls>
        <c:smooth val="0"/>
        <c:axId val="817819904"/>
        <c:axId val="817823168"/>
      </c:lineChart>
      <c:dateAx>
        <c:axId val="81781990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17823168"/>
        <c:crosses val="autoZero"/>
        <c:auto val="1"/>
        <c:lblOffset val="100"/>
        <c:baseTimeUnit val="days"/>
      </c:dateAx>
      <c:valAx>
        <c:axId val="817823168"/>
        <c:scaling>
          <c:logBase val="10"/>
          <c:orientation val="minMax"/>
        </c:scaling>
        <c:delete val="0"/>
        <c:axPos val="l"/>
        <c:majorGridlines>
          <c:spPr>
            <a:ln w="9525" cap="flat" cmpd="sng" algn="ctr">
              <a:solidFill>
                <a:schemeClr val="tx1">
                  <a:lumMod val="15000"/>
                  <a:lumOff val="8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17819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Total Note Circulation and Its</a:t>
            </a:r>
            <a:r>
              <a:rPr lang="en-US" sz="1800" b="1" baseline="0">
                <a:solidFill>
                  <a:sysClr val="windowText" lastClr="000000"/>
                </a:solidFill>
              </a:rPr>
              <a:t> Real Value, Indexed to 1938</a:t>
            </a:r>
            <a:endParaRPr lang="en-US" sz="1800" b="1">
              <a:solidFill>
                <a:sysClr val="windowText" lastClr="000000"/>
              </a:solidFill>
            </a:endParaRP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3429592820671546"/>
          <c:y val="0.15240615633105034"/>
          <c:w val="0.85122880221513431"/>
          <c:h val="0.7589846091723742"/>
        </c:manualLayout>
      </c:layout>
      <c:barChart>
        <c:barDir val="col"/>
        <c:grouping val="clustered"/>
        <c:varyColors val="0"/>
        <c:ser>
          <c:idx val="0"/>
          <c:order val="0"/>
          <c:tx>
            <c:strRef>
              <c:f>'Tab 11'!$B$32</c:f>
              <c:strCache>
                <c:ptCount val="1"/>
                <c:pt idx="0">
                  <c:v>Total note circulation, pengo</c:v>
                </c:pt>
              </c:strCache>
            </c:strRef>
          </c:tx>
          <c:spPr>
            <a:solidFill>
              <a:schemeClr val="accent1"/>
            </a:solidFill>
            <a:ln>
              <a:noFill/>
            </a:ln>
            <a:effectLst/>
          </c:spPr>
          <c:invertIfNegative val="0"/>
          <c:cat>
            <c:numRef>
              <c:f>'Tab 11'!$A$33:$A$44</c:f>
              <c:numCache>
                <c:formatCode>mmm\-yy</c:formatCode>
                <c:ptCount val="12"/>
                <c:pt idx="0">
                  <c:v>16619</c:v>
                </c:pt>
                <c:pt idx="1">
                  <c:v>16650</c:v>
                </c:pt>
                <c:pt idx="2">
                  <c:v>16681</c:v>
                </c:pt>
                <c:pt idx="3">
                  <c:v>16711</c:v>
                </c:pt>
                <c:pt idx="4">
                  <c:v>16742</c:v>
                </c:pt>
                <c:pt idx="5">
                  <c:v>16772</c:v>
                </c:pt>
                <c:pt idx="6">
                  <c:v>16803</c:v>
                </c:pt>
                <c:pt idx="7">
                  <c:v>16834</c:v>
                </c:pt>
                <c:pt idx="8">
                  <c:v>16862</c:v>
                </c:pt>
                <c:pt idx="9">
                  <c:v>16893</c:v>
                </c:pt>
                <c:pt idx="10">
                  <c:v>16923</c:v>
                </c:pt>
                <c:pt idx="11">
                  <c:v>16954</c:v>
                </c:pt>
              </c:numCache>
            </c:numRef>
          </c:cat>
          <c:val>
            <c:numRef>
              <c:f>'Tab 11'!$B$33:$B$44</c:f>
              <c:numCache>
                <c:formatCode>General</c:formatCode>
                <c:ptCount val="12"/>
                <c:pt idx="0">
                  <c:v>16000000000</c:v>
                </c:pt>
                <c:pt idx="1">
                  <c:v>24000000000</c:v>
                </c:pt>
                <c:pt idx="2">
                  <c:v>42000000000</c:v>
                </c:pt>
                <c:pt idx="3">
                  <c:v>110000000000</c:v>
                </c:pt>
                <c:pt idx="4">
                  <c:v>360000000000</c:v>
                </c:pt>
                <c:pt idx="5">
                  <c:v>770000000000</c:v>
                </c:pt>
                <c:pt idx="6">
                  <c:v>1600000000000</c:v>
                </c:pt>
                <c:pt idx="7">
                  <c:v>5200000000000</c:v>
                </c:pt>
                <c:pt idx="8">
                  <c:v>34000000000000</c:v>
                </c:pt>
                <c:pt idx="9">
                  <c:v>430000000000000</c:v>
                </c:pt>
                <c:pt idx="10">
                  <c:v>6.5E+16</c:v>
                </c:pt>
                <c:pt idx="11">
                  <c:v>6.1E+21</c:v>
                </c:pt>
              </c:numCache>
            </c:numRef>
          </c:val>
          <c:extLst xmlns:c16r2="http://schemas.microsoft.com/office/drawing/2015/06/chart">
            <c:ext xmlns:c16="http://schemas.microsoft.com/office/drawing/2014/chart" uri="{C3380CC4-5D6E-409C-BE32-E72D297353CC}">
              <c16:uniqueId val="{00000000-C1C5-4C64-A62C-A6648053EEAF}"/>
            </c:ext>
          </c:extLst>
        </c:ser>
        <c:dLbls>
          <c:showLegendKey val="0"/>
          <c:showVal val="0"/>
          <c:showCatName val="0"/>
          <c:showSerName val="0"/>
          <c:showPercent val="0"/>
          <c:showBubbleSize val="0"/>
        </c:dLbls>
        <c:gapWidth val="150"/>
        <c:axId val="871032768"/>
        <c:axId val="871033312"/>
      </c:barChart>
      <c:lineChart>
        <c:grouping val="standard"/>
        <c:varyColors val="0"/>
        <c:ser>
          <c:idx val="1"/>
          <c:order val="1"/>
          <c:tx>
            <c:strRef>
              <c:f>'Tab 11'!$C$32</c:f>
              <c:strCache>
                <c:ptCount val="1"/>
                <c:pt idx="0">
                  <c:v>Real value, 1938 = 100</c:v>
                </c:pt>
              </c:strCache>
            </c:strRef>
          </c:tx>
          <c:spPr>
            <a:ln w="28575" cap="rnd">
              <a:solidFill>
                <a:schemeClr val="accent2"/>
              </a:solidFill>
              <a:round/>
            </a:ln>
            <a:effectLst/>
          </c:spPr>
          <c:marker>
            <c:symbol val="none"/>
          </c:marker>
          <c:cat>
            <c:numRef>
              <c:f>'Tab 11'!$A$33:$A$44</c:f>
              <c:numCache>
                <c:formatCode>mmm\-yy</c:formatCode>
                <c:ptCount val="12"/>
                <c:pt idx="0">
                  <c:v>16619</c:v>
                </c:pt>
                <c:pt idx="1">
                  <c:v>16650</c:v>
                </c:pt>
                <c:pt idx="2">
                  <c:v>16681</c:v>
                </c:pt>
                <c:pt idx="3">
                  <c:v>16711</c:v>
                </c:pt>
                <c:pt idx="4">
                  <c:v>16742</c:v>
                </c:pt>
                <c:pt idx="5">
                  <c:v>16772</c:v>
                </c:pt>
                <c:pt idx="6">
                  <c:v>16803</c:v>
                </c:pt>
                <c:pt idx="7">
                  <c:v>16834</c:v>
                </c:pt>
                <c:pt idx="8">
                  <c:v>16862</c:v>
                </c:pt>
                <c:pt idx="9">
                  <c:v>16893</c:v>
                </c:pt>
                <c:pt idx="10">
                  <c:v>16923</c:v>
                </c:pt>
                <c:pt idx="11">
                  <c:v>16954</c:v>
                </c:pt>
              </c:numCache>
            </c:numRef>
          </c:cat>
          <c:val>
            <c:numRef>
              <c:f>'Tab 11'!$C$33:$C$44</c:f>
              <c:numCache>
                <c:formatCode>General</c:formatCode>
                <c:ptCount val="12"/>
                <c:pt idx="0">
                  <c:v>39.6</c:v>
                </c:pt>
                <c:pt idx="1">
                  <c:v>32.200000000000003</c:v>
                </c:pt>
                <c:pt idx="2">
                  <c:v>28.3</c:v>
                </c:pt>
                <c:pt idx="3">
                  <c:v>9.8000000000000007</c:v>
                </c:pt>
                <c:pt idx="4">
                  <c:v>5.3</c:v>
                </c:pt>
                <c:pt idx="5">
                  <c:v>4.5999999999999996</c:v>
                </c:pt>
                <c:pt idx="6">
                  <c:v>5.3</c:v>
                </c:pt>
                <c:pt idx="7">
                  <c:v>2.6</c:v>
                </c:pt>
                <c:pt idx="8">
                  <c:v>3.8</c:v>
                </c:pt>
                <c:pt idx="9">
                  <c:v>2.8</c:v>
                </c:pt>
                <c:pt idx="10">
                  <c:v>1.4</c:v>
                </c:pt>
                <c:pt idx="11">
                  <c:v>0.35599999999999998</c:v>
                </c:pt>
              </c:numCache>
            </c:numRef>
          </c:val>
          <c:smooth val="0"/>
          <c:extLst xmlns:c16r2="http://schemas.microsoft.com/office/drawing/2015/06/chart">
            <c:ext xmlns:c16="http://schemas.microsoft.com/office/drawing/2014/chart" uri="{C3380CC4-5D6E-409C-BE32-E72D297353CC}">
              <c16:uniqueId val="{00000001-C1C5-4C64-A62C-A6648053EEAF}"/>
            </c:ext>
          </c:extLst>
        </c:ser>
        <c:dLbls>
          <c:showLegendKey val="0"/>
          <c:showVal val="0"/>
          <c:showCatName val="0"/>
          <c:showSerName val="0"/>
          <c:showPercent val="0"/>
          <c:showBubbleSize val="0"/>
        </c:dLbls>
        <c:marker val="1"/>
        <c:smooth val="0"/>
        <c:axId val="871032768"/>
        <c:axId val="871033312"/>
      </c:lineChart>
      <c:dateAx>
        <c:axId val="8710327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71033312"/>
        <c:crosses val="autoZero"/>
        <c:auto val="1"/>
        <c:lblOffset val="100"/>
        <c:baseTimeUnit val="months"/>
      </c:dateAx>
      <c:valAx>
        <c:axId val="871033312"/>
        <c:scaling>
          <c:logBase val="10"/>
          <c:orientation val="minMax"/>
        </c:scaling>
        <c:delete val="0"/>
        <c:axPos val="l"/>
        <c:majorGridlines>
          <c:spPr>
            <a:ln w="9525" cap="flat" cmpd="sng" algn="ctr">
              <a:solidFill>
                <a:schemeClr val="tx1">
                  <a:lumMod val="15000"/>
                  <a:lumOff val="85000"/>
                </a:schemeClr>
              </a:solidFill>
              <a:prstDash val="sysDash"/>
              <a:round/>
            </a:ln>
            <a:effectLst/>
          </c:spPr>
        </c:majorGridlines>
        <c:numFmt formatCode="General"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71032768"/>
        <c:crosses val="autoZero"/>
        <c:crossBetween val="between"/>
      </c:valAx>
      <c:spPr>
        <a:noFill/>
        <a:ln>
          <a:noFill/>
        </a:ln>
        <a:effectLst/>
      </c:spPr>
    </c:plotArea>
    <c:legend>
      <c:legendPos val="b"/>
      <c:layout>
        <c:manualLayout>
          <c:xMode val="edge"/>
          <c:yMode val="edge"/>
          <c:x val="0.20049084208076112"/>
          <c:y val="0.23897839693115283"/>
          <c:w val="0.39355696570871218"/>
          <c:h val="0.19222302579432934"/>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Chart 11a:</a:t>
            </a:r>
            <a:r>
              <a:rPr lang="en-US" sz="1800" b="1" baseline="0">
                <a:solidFill>
                  <a:sysClr val="windowText" lastClr="000000"/>
                </a:solidFill>
              </a:rPr>
              <a:t> Nominal </a:t>
            </a:r>
            <a:r>
              <a:rPr lang="en-US" sz="1800" b="1">
                <a:solidFill>
                  <a:sysClr val="windowText" lastClr="000000"/>
                </a:solidFill>
              </a:rPr>
              <a:t>Note Circulation (Pengoes) </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00297132669737E-2"/>
          <c:y val="0.15825064008388201"/>
          <c:w val="0.87133478598194092"/>
          <c:h val="0.74277010095200402"/>
        </c:manualLayout>
      </c:layout>
      <c:lineChart>
        <c:grouping val="standard"/>
        <c:varyColors val="0"/>
        <c:ser>
          <c:idx val="0"/>
          <c:order val="0"/>
          <c:spPr>
            <a:ln w="50800" cap="rnd">
              <a:solidFill>
                <a:schemeClr val="accent1"/>
              </a:solidFill>
              <a:round/>
            </a:ln>
            <a:effectLst/>
          </c:spPr>
          <c:marker>
            <c:symbol val="none"/>
          </c:marker>
          <c:cat>
            <c:numRef>
              <c:f>'Tab 11'!$A$55:$A$88</c:f>
              <c:numCache>
                <c:formatCode>mmm\-yy</c:formatCode>
                <c:ptCount val="34"/>
                <c:pt idx="0">
                  <c:v>16619</c:v>
                </c:pt>
                <c:pt idx="1">
                  <c:v>16650</c:v>
                </c:pt>
                <c:pt idx="2">
                  <c:v>16681</c:v>
                </c:pt>
                <c:pt idx="3">
                  <c:v>16711</c:v>
                </c:pt>
                <c:pt idx="4">
                  <c:v>16742</c:v>
                </c:pt>
                <c:pt idx="5" formatCode="m/d/yyyy">
                  <c:v>16802</c:v>
                </c:pt>
                <c:pt idx="6" formatCode="m/d/yyyy">
                  <c:v>16809</c:v>
                </c:pt>
                <c:pt idx="7" formatCode="m/d/yyyy">
                  <c:v>16817</c:v>
                </c:pt>
                <c:pt idx="8" formatCode="m/d/yyyy">
                  <c:v>16825</c:v>
                </c:pt>
                <c:pt idx="9" formatCode="m/d/yyyy">
                  <c:v>16833</c:v>
                </c:pt>
                <c:pt idx="10" formatCode="m/d/yyyy">
                  <c:v>16840</c:v>
                </c:pt>
                <c:pt idx="11" formatCode="m/d/yyyy">
                  <c:v>16848</c:v>
                </c:pt>
                <c:pt idx="12" formatCode="m/d/yyyy">
                  <c:v>16856</c:v>
                </c:pt>
                <c:pt idx="13" formatCode="m/d/yyyy">
                  <c:v>16861</c:v>
                </c:pt>
                <c:pt idx="14" formatCode="m/d/yyyy">
                  <c:v>16868</c:v>
                </c:pt>
                <c:pt idx="15" formatCode="m/d/yyyy">
                  <c:v>16876</c:v>
                </c:pt>
                <c:pt idx="16" formatCode="m/d/yyyy">
                  <c:v>16884</c:v>
                </c:pt>
                <c:pt idx="17" formatCode="m/d/yyyy">
                  <c:v>16892</c:v>
                </c:pt>
                <c:pt idx="18" formatCode="m/d/yyyy">
                  <c:v>16899</c:v>
                </c:pt>
                <c:pt idx="19" formatCode="m/d/yyyy">
                  <c:v>16907</c:v>
                </c:pt>
                <c:pt idx="20" formatCode="m/d/yyyy">
                  <c:v>16915</c:v>
                </c:pt>
                <c:pt idx="21" formatCode="m/d/yyyy">
                  <c:v>16922</c:v>
                </c:pt>
                <c:pt idx="22" formatCode="m/d/yyyy">
                  <c:v>16929</c:v>
                </c:pt>
                <c:pt idx="23" formatCode="m/d/yyyy">
                  <c:v>16937</c:v>
                </c:pt>
                <c:pt idx="24" formatCode="m/d/yyyy">
                  <c:v>16945</c:v>
                </c:pt>
                <c:pt idx="25" formatCode="m/d/yyyy">
                  <c:v>16953</c:v>
                </c:pt>
                <c:pt idx="26" formatCode="m/d/yyyy">
                  <c:v>16960</c:v>
                </c:pt>
                <c:pt idx="27" formatCode="m/d/yyyy">
                  <c:v>16968</c:v>
                </c:pt>
                <c:pt idx="28" formatCode="m/d/yyyy">
                  <c:v>16976</c:v>
                </c:pt>
                <c:pt idx="29" formatCode="m/d/yyyy">
                  <c:v>16983</c:v>
                </c:pt>
                <c:pt idx="30" formatCode="m/d/yyyy">
                  <c:v>16990</c:v>
                </c:pt>
                <c:pt idx="31" formatCode="m/d/yyyy">
                  <c:v>16998</c:v>
                </c:pt>
                <c:pt idx="32" formatCode="m/d/yyyy">
                  <c:v>17006</c:v>
                </c:pt>
                <c:pt idx="33" formatCode="m/d/yyyy">
                  <c:v>17014</c:v>
                </c:pt>
              </c:numCache>
            </c:numRef>
          </c:cat>
          <c:val>
            <c:numRef>
              <c:f>'Tab 11'!$B$55:$B$88</c:f>
              <c:numCache>
                <c:formatCode>General</c:formatCode>
                <c:ptCount val="34"/>
                <c:pt idx="0">
                  <c:v>16000000000</c:v>
                </c:pt>
                <c:pt idx="1">
                  <c:v>24000000000</c:v>
                </c:pt>
                <c:pt idx="2">
                  <c:v>42000000000</c:v>
                </c:pt>
                <c:pt idx="3">
                  <c:v>110000000000</c:v>
                </c:pt>
                <c:pt idx="4">
                  <c:v>360000000000</c:v>
                </c:pt>
                <c:pt idx="5">
                  <c:v>765400000000</c:v>
                </c:pt>
                <c:pt idx="6">
                  <c:v>778000000000</c:v>
                </c:pt>
                <c:pt idx="7">
                  <c:v>943000000000</c:v>
                </c:pt>
                <c:pt idx="8">
                  <c:v>1113000000000</c:v>
                </c:pt>
                <c:pt idx="9">
                  <c:v>1646000000000</c:v>
                </c:pt>
                <c:pt idx="10">
                  <c:v>1921000000000</c:v>
                </c:pt>
                <c:pt idx="11">
                  <c:v>2722000000000</c:v>
                </c:pt>
                <c:pt idx="12">
                  <c:v>3973000000000</c:v>
                </c:pt>
                <c:pt idx="13">
                  <c:v>5238000000000</c:v>
                </c:pt>
                <c:pt idx="14">
                  <c:v>9341000000000</c:v>
                </c:pt>
                <c:pt idx="15">
                  <c:v>15568000000000</c:v>
                </c:pt>
                <c:pt idx="16">
                  <c:v>22293000000000</c:v>
                </c:pt>
                <c:pt idx="17">
                  <c:v>34002000000000</c:v>
                </c:pt>
                <c:pt idx="18">
                  <c:v>59416000000000</c:v>
                </c:pt>
                <c:pt idx="19">
                  <c:v>110299000000000</c:v>
                </c:pt>
                <c:pt idx="20">
                  <c:v>181234000000000</c:v>
                </c:pt>
                <c:pt idx="21">
                  <c:v>434304000000000</c:v>
                </c:pt>
                <c:pt idx="22">
                  <c:v>1084000000000000</c:v>
                </c:pt>
                <c:pt idx="23">
                  <c:v>2913000000000000</c:v>
                </c:pt>
                <c:pt idx="24">
                  <c:v>1.4112E+16</c:v>
                </c:pt>
                <c:pt idx="25">
                  <c:v>6.5589E+16</c:v>
                </c:pt>
                <c:pt idx="26">
                  <c:v>5.01324E+17</c:v>
                </c:pt>
                <c:pt idx="27">
                  <c:v>4.7E+18</c:v>
                </c:pt>
                <c:pt idx="28">
                  <c:v>7.84E+19</c:v>
                </c:pt>
                <c:pt idx="29">
                  <c:v>6.2270000000000003E+21</c:v>
                </c:pt>
                <c:pt idx="30">
                  <c:v>3.5632719999999997E+21</c:v>
                </c:pt>
                <c:pt idx="31">
                  <c:v>7.6000000000000001E+25</c:v>
                </c:pt>
                <c:pt idx="32">
                  <c:v>4.2100000000000003E+25</c:v>
                </c:pt>
                <c:pt idx="33">
                  <c:v>4.7299999999999994E+25</c:v>
                </c:pt>
              </c:numCache>
            </c:numRef>
          </c:val>
          <c:smooth val="0"/>
          <c:extLst xmlns:c16r2="http://schemas.microsoft.com/office/drawing/2015/06/chart">
            <c:ext xmlns:c16="http://schemas.microsoft.com/office/drawing/2014/chart" uri="{C3380CC4-5D6E-409C-BE32-E72D297353CC}">
              <c16:uniqueId val="{00000000-A352-4F04-AE0A-6669AF38DA15}"/>
            </c:ext>
          </c:extLst>
        </c:ser>
        <c:dLbls>
          <c:showLegendKey val="0"/>
          <c:showVal val="0"/>
          <c:showCatName val="0"/>
          <c:showSerName val="0"/>
          <c:showPercent val="0"/>
          <c:showBubbleSize val="0"/>
        </c:dLbls>
        <c:smooth val="0"/>
        <c:axId val="871624352"/>
        <c:axId val="871615648"/>
      </c:lineChart>
      <c:dateAx>
        <c:axId val="871624352"/>
        <c:scaling>
          <c:orientation val="minMax"/>
        </c:scaling>
        <c:delete val="0"/>
        <c:axPos val="b"/>
        <c:numFmt formatCode="mmm\-yy" sourceLinked="1"/>
        <c:majorTickMark val="out"/>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71615648"/>
        <c:crosses val="autoZero"/>
        <c:auto val="1"/>
        <c:lblOffset val="100"/>
        <c:baseTimeUnit val="days"/>
        <c:majorUnit val="2"/>
        <c:majorTimeUnit val="months"/>
      </c:dateAx>
      <c:valAx>
        <c:axId val="871615648"/>
        <c:scaling>
          <c:logBase val="10"/>
          <c:orientation val="minMax"/>
          <c:max val="9.9999999999999988E+26"/>
          <c:min val="1000000000"/>
        </c:scaling>
        <c:delete val="0"/>
        <c:axPos val="l"/>
        <c:majorGridlines>
          <c:spPr>
            <a:ln w="9525" cap="flat" cmpd="sng" algn="ctr">
              <a:solidFill>
                <a:schemeClr val="tx1">
                  <a:lumMod val="15000"/>
                  <a:lumOff val="85000"/>
                </a:schemeClr>
              </a:solidFill>
              <a:prstDash val="sysDash"/>
              <a:round/>
            </a:ln>
            <a:effectLst/>
          </c:spPr>
        </c:majorGridlines>
        <c:numFmt formatCode="General"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71624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r>
              <a:rPr lang="en-US" sz="1800" b="1">
                <a:solidFill>
                  <a:sysClr val="windowText" lastClr="000000"/>
                </a:solidFill>
              </a:rPr>
              <a:t>Chart 11b: Real Note Circulation </a:t>
            </a:r>
            <a:r>
              <a:rPr lang="en-US" sz="1800" b="1" baseline="0">
                <a:solidFill>
                  <a:sysClr val="windowText" lastClr="000000"/>
                </a:solidFill>
              </a:rPr>
              <a:t>(1938 = 100)</a:t>
            </a:r>
            <a:endParaRPr lang="en-US" sz="1800" b="1">
              <a:solidFill>
                <a:sysClr val="windowText" lastClr="000000"/>
              </a:solidFill>
            </a:endParaRPr>
          </a:p>
        </c:rich>
      </c:tx>
      <c:overlay val="0"/>
      <c:spPr>
        <a:no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spPr>
            <a:ln w="38100" cap="rnd">
              <a:solidFill>
                <a:schemeClr val="accent2"/>
              </a:solidFill>
              <a:round/>
            </a:ln>
            <a:effectLst/>
          </c:spPr>
          <c:marker>
            <c:symbol val="none"/>
          </c:marker>
          <c:cat>
            <c:numRef>
              <c:f>'Tab 11'!$A$33:$A$44</c:f>
              <c:numCache>
                <c:formatCode>mmm\-yy</c:formatCode>
                <c:ptCount val="12"/>
                <c:pt idx="0">
                  <c:v>16619</c:v>
                </c:pt>
                <c:pt idx="1">
                  <c:v>16650</c:v>
                </c:pt>
                <c:pt idx="2">
                  <c:v>16681</c:v>
                </c:pt>
                <c:pt idx="3">
                  <c:v>16711</c:v>
                </c:pt>
                <c:pt idx="4">
                  <c:v>16742</c:v>
                </c:pt>
                <c:pt idx="5">
                  <c:v>16772</c:v>
                </c:pt>
                <c:pt idx="6">
                  <c:v>16803</c:v>
                </c:pt>
                <c:pt idx="7">
                  <c:v>16834</c:v>
                </c:pt>
                <c:pt idx="8">
                  <c:v>16862</c:v>
                </c:pt>
                <c:pt idx="9">
                  <c:v>16893</c:v>
                </c:pt>
                <c:pt idx="10">
                  <c:v>16923</c:v>
                </c:pt>
                <c:pt idx="11">
                  <c:v>16954</c:v>
                </c:pt>
              </c:numCache>
            </c:numRef>
          </c:cat>
          <c:val>
            <c:numRef>
              <c:f>'Tab 11'!$C$33:$C$44</c:f>
              <c:numCache>
                <c:formatCode>General</c:formatCode>
                <c:ptCount val="12"/>
                <c:pt idx="0">
                  <c:v>39.6</c:v>
                </c:pt>
                <c:pt idx="1">
                  <c:v>32.200000000000003</c:v>
                </c:pt>
                <c:pt idx="2">
                  <c:v>28.3</c:v>
                </c:pt>
                <c:pt idx="3">
                  <c:v>9.8000000000000007</c:v>
                </c:pt>
                <c:pt idx="4">
                  <c:v>5.3</c:v>
                </c:pt>
                <c:pt idx="5">
                  <c:v>4.5999999999999996</c:v>
                </c:pt>
                <c:pt idx="6">
                  <c:v>5.3</c:v>
                </c:pt>
                <c:pt idx="7">
                  <c:v>2.6</c:v>
                </c:pt>
                <c:pt idx="8">
                  <c:v>3.8</c:v>
                </c:pt>
                <c:pt idx="9">
                  <c:v>2.8</c:v>
                </c:pt>
                <c:pt idx="10">
                  <c:v>1.4</c:v>
                </c:pt>
                <c:pt idx="11">
                  <c:v>0.35599999999999998</c:v>
                </c:pt>
              </c:numCache>
            </c:numRef>
          </c:val>
          <c:smooth val="0"/>
          <c:extLst xmlns:c16r2="http://schemas.microsoft.com/office/drawing/2015/06/chart">
            <c:ext xmlns:c16="http://schemas.microsoft.com/office/drawing/2014/chart" uri="{C3380CC4-5D6E-409C-BE32-E72D297353CC}">
              <c16:uniqueId val="{00000000-6A98-4BBA-A4E1-EB006BBDCF95}"/>
            </c:ext>
          </c:extLst>
        </c:ser>
        <c:dLbls>
          <c:showLegendKey val="0"/>
          <c:showVal val="0"/>
          <c:showCatName val="0"/>
          <c:showSerName val="0"/>
          <c:showPercent val="0"/>
          <c:showBubbleSize val="0"/>
        </c:dLbls>
        <c:smooth val="0"/>
        <c:axId val="871614016"/>
        <c:axId val="871618368"/>
      </c:lineChart>
      <c:dateAx>
        <c:axId val="871614016"/>
        <c:scaling>
          <c:orientation val="minMax"/>
        </c:scaling>
        <c:delete val="0"/>
        <c:axPos val="b"/>
        <c:numFmt formatCode="mmm\-yy" sourceLinked="1"/>
        <c:majorTickMark val="out"/>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71618368"/>
        <c:crosses val="autoZero"/>
        <c:auto val="1"/>
        <c:lblOffset val="100"/>
        <c:baseTimeUnit val="months"/>
        <c:majorUnit val="2"/>
        <c:majorTimeUnit val="months"/>
        <c:minorUnit val="2"/>
        <c:minorTimeUnit val="months"/>
      </c:dateAx>
      <c:valAx>
        <c:axId val="871618368"/>
        <c:scaling>
          <c:orientation val="minMax"/>
        </c:scaling>
        <c:delete val="0"/>
        <c:axPos val="l"/>
        <c:majorGridlines>
          <c:spPr>
            <a:ln w="9525" cap="flat" cmpd="sng" algn="ctr">
              <a:solidFill>
                <a:schemeClr val="tx1">
                  <a:lumMod val="15000"/>
                  <a:lumOff val="85000"/>
                </a:schemeClr>
              </a:solidFill>
              <a:prstDash val="sysDash"/>
              <a:round/>
            </a:ln>
            <a:effectLst/>
          </c:spPr>
        </c:majorGridlines>
        <c:numFmt formatCode="General"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71614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Chart 13: Average Daily Production of Coal and</a:t>
            </a:r>
            <a:r>
              <a:rPr lang="en-US" sz="1800" b="1" baseline="0">
                <a:solidFill>
                  <a:sysClr val="windowText" lastClr="000000"/>
                </a:solidFill>
              </a:rPr>
              <a:t> Steel (1937-1938 = 100)</a:t>
            </a:r>
            <a:endParaRPr lang="en-US" sz="1800"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705629688049899E-2"/>
          <c:y val="0.26093070186011841"/>
          <c:w val="0.88786553538642887"/>
          <c:h val="0.50139799852692624"/>
        </c:manualLayout>
      </c:layout>
      <c:lineChart>
        <c:grouping val="standard"/>
        <c:varyColors val="0"/>
        <c:ser>
          <c:idx val="0"/>
          <c:order val="0"/>
          <c:tx>
            <c:strRef>
              <c:f>'Tab 12'!$B$5</c:f>
              <c:strCache>
                <c:ptCount val="1"/>
                <c:pt idx="0">
                  <c:v>Coal</c:v>
                </c:pt>
              </c:strCache>
            </c:strRef>
          </c:tx>
          <c:spPr>
            <a:ln w="50800" cap="rnd">
              <a:solidFill>
                <a:schemeClr val="accent1"/>
              </a:solidFill>
              <a:prstDash val="sysDash"/>
              <a:round/>
            </a:ln>
            <a:effectLst/>
          </c:spPr>
          <c:marker>
            <c:symbol val="none"/>
          </c:marker>
          <c:cat>
            <c:numRef>
              <c:f>'Tab 12'!$A$6:$A$35</c:f>
              <c:numCache>
                <c:formatCode>mmm\-yy</c:formatCode>
                <c:ptCount val="30"/>
                <c:pt idx="0">
                  <c:v>16589</c:v>
                </c:pt>
                <c:pt idx="1">
                  <c:v>16619</c:v>
                </c:pt>
                <c:pt idx="2">
                  <c:v>16650</c:v>
                </c:pt>
                <c:pt idx="3">
                  <c:v>16681</c:v>
                </c:pt>
                <c:pt idx="4">
                  <c:v>16711</c:v>
                </c:pt>
                <c:pt idx="5">
                  <c:v>16742</c:v>
                </c:pt>
                <c:pt idx="6">
                  <c:v>16772</c:v>
                </c:pt>
                <c:pt idx="7">
                  <c:v>16803</c:v>
                </c:pt>
                <c:pt idx="8">
                  <c:v>16834</c:v>
                </c:pt>
                <c:pt idx="9">
                  <c:v>16862</c:v>
                </c:pt>
                <c:pt idx="10">
                  <c:v>16893</c:v>
                </c:pt>
                <c:pt idx="11">
                  <c:v>16923</c:v>
                </c:pt>
                <c:pt idx="12">
                  <c:v>16954</c:v>
                </c:pt>
                <c:pt idx="13">
                  <c:v>16984</c:v>
                </c:pt>
                <c:pt idx="14">
                  <c:v>17015</c:v>
                </c:pt>
                <c:pt idx="15">
                  <c:v>17046</c:v>
                </c:pt>
                <c:pt idx="16">
                  <c:v>17076</c:v>
                </c:pt>
                <c:pt idx="17">
                  <c:v>17107</c:v>
                </c:pt>
                <c:pt idx="18">
                  <c:v>17137</c:v>
                </c:pt>
                <c:pt idx="19">
                  <c:v>17168</c:v>
                </c:pt>
                <c:pt idx="20">
                  <c:v>17199</c:v>
                </c:pt>
                <c:pt idx="21">
                  <c:v>17227</c:v>
                </c:pt>
                <c:pt idx="22">
                  <c:v>17258</c:v>
                </c:pt>
                <c:pt idx="23">
                  <c:v>17288</c:v>
                </c:pt>
                <c:pt idx="24">
                  <c:v>17319</c:v>
                </c:pt>
                <c:pt idx="25">
                  <c:v>17349</c:v>
                </c:pt>
                <c:pt idx="26">
                  <c:v>17380</c:v>
                </c:pt>
                <c:pt idx="27">
                  <c:v>17411</c:v>
                </c:pt>
                <c:pt idx="28">
                  <c:v>17441</c:v>
                </c:pt>
                <c:pt idx="29">
                  <c:v>17472</c:v>
                </c:pt>
              </c:numCache>
            </c:numRef>
          </c:cat>
          <c:val>
            <c:numRef>
              <c:f>'Tab 12'!$B$6:$B$35</c:f>
              <c:numCache>
                <c:formatCode>General</c:formatCode>
                <c:ptCount val="30"/>
                <c:pt idx="0">
                  <c:v>43.9</c:v>
                </c:pt>
                <c:pt idx="1">
                  <c:v>43.1</c:v>
                </c:pt>
                <c:pt idx="2">
                  <c:v>52.7</c:v>
                </c:pt>
                <c:pt idx="3">
                  <c:v>56.8</c:v>
                </c:pt>
                <c:pt idx="4">
                  <c:v>53</c:v>
                </c:pt>
                <c:pt idx="5">
                  <c:v>54.1</c:v>
                </c:pt>
                <c:pt idx="6">
                  <c:v>65.2</c:v>
                </c:pt>
                <c:pt idx="7">
                  <c:v>61.9</c:v>
                </c:pt>
                <c:pt idx="8">
                  <c:v>68.599999999999994</c:v>
                </c:pt>
                <c:pt idx="9">
                  <c:v>69.5</c:v>
                </c:pt>
                <c:pt idx="10">
                  <c:v>67.400000000000006</c:v>
                </c:pt>
                <c:pt idx="11">
                  <c:v>66.7</c:v>
                </c:pt>
                <c:pt idx="12">
                  <c:v>65</c:v>
                </c:pt>
                <c:pt idx="13">
                  <c:v>58.2</c:v>
                </c:pt>
                <c:pt idx="14">
                  <c:v>68.3</c:v>
                </c:pt>
                <c:pt idx="15">
                  <c:v>68.8</c:v>
                </c:pt>
                <c:pt idx="16">
                  <c:v>77.099999999999994</c:v>
                </c:pt>
                <c:pt idx="17">
                  <c:v>79.599999999999994</c:v>
                </c:pt>
                <c:pt idx="18">
                  <c:v>76.7</c:v>
                </c:pt>
                <c:pt idx="19">
                  <c:v>86.8</c:v>
                </c:pt>
                <c:pt idx="20">
                  <c:v>85.1</c:v>
                </c:pt>
                <c:pt idx="21">
                  <c:v>92.8</c:v>
                </c:pt>
                <c:pt idx="22">
                  <c:v>91.2</c:v>
                </c:pt>
                <c:pt idx="23">
                  <c:v>89.1</c:v>
                </c:pt>
                <c:pt idx="24">
                  <c:v>88.8</c:v>
                </c:pt>
                <c:pt idx="25">
                  <c:v>83.8</c:v>
                </c:pt>
                <c:pt idx="26">
                  <c:v>87.5</c:v>
                </c:pt>
                <c:pt idx="27">
                  <c:v>92.2</c:v>
                </c:pt>
                <c:pt idx="28">
                  <c:v>95.9</c:v>
                </c:pt>
                <c:pt idx="29">
                  <c:v>101.1</c:v>
                </c:pt>
              </c:numCache>
            </c:numRef>
          </c:val>
          <c:smooth val="0"/>
          <c:extLst xmlns:c16r2="http://schemas.microsoft.com/office/drawing/2015/06/chart">
            <c:ext xmlns:c16="http://schemas.microsoft.com/office/drawing/2014/chart" uri="{C3380CC4-5D6E-409C-BE32-E72D297353CC}">
              <c16:uniqueId val="{00000000-7E71-4A4C-8144-83B12E555B86}"/>
            </c:ext>
          </c:extLst>
        </c:ser>
        <c:ser>
          <c:idx val="1"/>
          <c:order val="1"/>
          <c:tx>
            <c:strRef>
              <c:f>'Tab 12'!$C$5</c:f>
              <c:strCache>
                <c:ptCount val="1"/>
                <c:pt idx="0">
                  <c:v>Steel</c:v>
                </c:pt>
              </c:strCache>
            </c:strRef>
          </c:tx>
          <c:spPr>
            <a:ln w="50800" cap="rnd">
              <a:solidFill>
                <a:schemeClr val="accent2"/>
              </a:solidFill>
              <a:round/>
            </a:ln>
            <a:effectLst/>
          </c:spPr>
          <c:marker>
            <c:symbol val="none"/>
          </c:marker>
          <c:cat>
            <c:numRef>
              <c:f>'Tab 12'!$A$6:$A$35</c:f>
              <c:numCache>
                <c:formatCode>mmm\-yy</c:formatCode>
                <c:ptCount val="30"/>
                <c:pt idx="0">
                  <c:v>16589</c:v>
                </c:pt>
                <c:pt idx="1">
                  <c:v>16619</c:v>
                </c:pt>
                <c:pt idx="2">
                  <c:v>16650</c:v>
                </c:pt>
                <c:pt idx="3">
                  <c:v>16681</c:v>
                </c:pt>
                <c:pt idx="4">
                  <c:v>16711</c:v>
                </c:pt>
                <c:pt idx="5">
                  <c:v>16742</c:v>
                </c:pt>
                <c:pt idx="6">
                  <c:v>16772</c:v>
                </c:pt>
                <c:pt idx="7">
                  <c:v>16803</c:v>
                </c:pt>
                <c:pt idx="8">
                  <c:v>16834</c:v>
                </c:pt>
                <c:pt idx="9">
                  <c:v>16862</c:v>
                </c:pt>
                <c:pt idx="10">
                  <c:v>16893</c:v>
                </c:pt>
                <c:pt idx="11">
                  <c:v>16923</c:v>
                </c:pt>
                <c:pt idx="12">
                  <c:v>16954</c:v>
                </c:pt>
                <c:pt idx="13">
                  <c:v>16984</c:v>
                </c:pt>
                <c:pt idx="14">
                  <c:v>17015</c:v>
                </c:pt>
                <c:pt idx="15">
                  <c:v>17046</c:v>
                </c:pt>
                <c:pt idx="16">
                  <c:v>17076</c:v>
                </c:pt>
                <c:pt idx="17">
                  <c:v>17107</c:v>
                </c:pt>
                <c:pt idx="18">
                  <c:v>17137</c:v>
                </c:pt>
                <c:pt idx="19">
                  <c:v>17168</c:v>
                </c:pt>
                <c:pt idx="20">
                  <c:v>17199</c:v>
                </c:pt>
                <c:pt idx="21">
                  <c:v>17227</c:v>
                </c:pt>
                <c:pt idx="22">
                  <c:v>17258</c:v>
                </c:pt>
                <c:pt idx="23">
                  <c:v>17288</c:v>
                </c:pt>
                <c:pt idx="24">
                  <c:v>17319</c:v>
                </c:pt>
                <c:pt idx="25">
                  <c:v>17349</c:v>
                </c:pt>
                <c:pt idx="26">
                  <c:v>17380</c:v>
                </c:pt>
                <c:pt idx="27">
                  <c:v>17411</c:v>
                </c:pt>
                <c:pt idx="28">
                  <c:v>17441</c:v>
                </c:pt>
                <c:pt idx="29">
                  <c:v>17472</c:v>
                </c:pt>
              </c:numCache>
            </c:numRef>
          </c:cat>
          <c:val>
            <c:numRef>
              <c:f>'Tab 12'!$C$6:$C$35</c:f>
              <c:numCache>
                <c:formatCode>General</c:formatCode>
                <c:ptCount val="30"/>
                <c:pt idx="1">
                  <c:v>10.199999999999999</c:v>
                </c:pt>
                <c:pt idx="2">
                  <c:v>9.6</c:v>
                </c:pt>
                <c:pt idx="3">
                  <c:v>6.2</c:v>
                </c:pt>
                <c:pt idx="7">
                  <c:v>15.3</c:v>
                </c:pt>
                <c:pt idx="8">
                  <c:v>16.100000000000001</c:v>
                </c:pt>
                <c:pt idx="9">
                  <c:v>17.100000000000001</c:v>
                </c:pt>
                <c:pt idx="10">
                  <c:v>25.4</c:v>
                </c:pt>
                <c:pt idx="11">
                  <c:v>43.2</c:v>
                </c:pt>
                <c:pt idx="12">
                  <c:v>50.1</c:v>
                </c:pt>
                <c:pt idx="13">
                  <c:v>51.9</c:v>
                </c:pt>
                <c:pt idx="14">
                  <c:v>57.5</c:v>
                </c:pt>
                <c:pt idx="15">
                  <c:v>62.5</c:v>
                </c:pt>
                <c:pt idx="16">
                  <c:v>66.400000000000006</c:v>
                </c:pt>
                <c:pt idx="17">
                  <c:v>74.599999999999994</c:v>
                </c:pt>
                <c:pt idx="18">
                  <c:v>58</c:v>
                </c:pt>
                <c:pt idx="19">
                  <c:v>53</c:v>
                </c:pt>
                <c:pt idx="20">
                  <c:v>64.8</c:v>
                </c:pt>
                <c:pt idx="21">
                  <c:v>74.8</c:v>
                </c:pt>
                <c:pt idx="22">
                  <c:v>89.4</c:v>
                </c:pt>
                <c:pt idx="23">
                  <c:v>97.4</c:v>
                </c:pt>
                <c:pt idx="24">
                  <c:v>94.9</c:v>
                </c:pt>
                <c:pt idx="25">
                  <c:v>90.9</c:v>
                </c:pt>
                <c:pt idx="26">
                  <c:v>102.3</c:v>
                </c:pt>
                <c:pt idx="27">
                  <c:v>112.1</c:v>
                </c:pt>
                <c:pt idx="28">
                  <c:v>91.6</c:v>
                </c:pt>
                <c:pt idx="29">
                  <c:v>87.3</c:v>
                </c:pt>
              </c:numCache>
            </c:numRef>
          </c:val>
          <c:smooth val="0"/>
          <c:extLst xmlns:c16r2="http://schemas.microsoft.com/office/drawing/2015/06/chart">
            <c:ext xmlns:c16="http://schemas.microsoft.com/office/drawing/2014/chart" uri="{C3380CC4-5D6E-409C-BE32-E72D297353CC}">
              <c16:uniqueId val="{00000001-7E71-4A4C-8144-83B12E555B86}"/>
            </c:ext>
          </c:extLst>
        </c:ser>
        <c:dLbls>
          <c:showLegendKey val="0"/>
          <c:showVal val="0"/>
          <c:showCatName val="0"/>
          <c:showSerName val="0"/>
          <c:showPercent val="0"/>
          <c:showBubbleSize val="0"/>
        </c:dLbls>
        <c:smooth val="0"/>
        <c:axId val="871622176"/>
        <c:axId val="871614560"/>
      </c:lineChart>
      <c:dateAx>
        <c:axId val="871622176"/>
        <c:scaling>
          <c:orientation val="minMax"/>
        </c:scaling>
        <c:delete val="0"/>
        <c:axPos val="b"/>
        <c:numFmt formatCode="mmm\-yy" sourceLinked="1"/>
        <c:majorTickMark val="out"/>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71614560"/>
        <c:crosses val="autoZero"/>
        <c:auto val="1"/>
        <c:lblOffset val="100"/>
        <c:baseTimeUnit val="months"/>
        <c:majorUnit val="3"/>
        <c:majorTimeUnit val="months"/>
      </c:dateAx>
      <c:valAx>
        <c:axId val="871614560"/>
        <c:scaling>
          <c:orientation val="minMax"/>
        </c:scaling>
        <c:delete val="0"/>
        <c:axPos val="l"/>
        <c:majorGridlines>
          <c:spPr>
            <a:ln w="9525" cap="flat" cmpd="sng" algn="ctr">
              <a:solidFill>
                <a:schemeClr val="tx1">
                  <a:lumMod val="15000"/>
                  <a:lumOff val="85000"/>
                </a:schemeClr>
              </a:solidFill>
              <a:prstDash val="sysDash"/>
              <a:round/>
            </a:ln>
            <a:effectLst/>
          </c:spPr>
        </c:majorGridlines>
        <c:numFmt formatCode="General"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71622176"/>
        <c:crosses val="autoZero"/>
        <c:crossBetween val="midCat"/>
      </c:valAx>
      <c:spPr>
        <a:noFill/>
        <a:ln>
          <a:noFill/>
        </a:ln>
        <a:effectLst/>
      </c:spPr>
    </c:plotArea>
    <c:legend>
      <c:legendPos val="b"/>
      <c:layout>
        <c:manualLayout>
          <c:xMode val="edge"/>
          <c:yMode val="edge"/>
          <c:x val="0.32497118797145513"/>
          <c:y val="0.27832594377857339"/>
          <c:w val="0.21220069623768759"/>
          <c:h val="0.13493225311873169"/>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solidFill>
                <a:latin typeface="+mn-lt"/>
                <a:ea typeface="+mn-ea"/>
                <a:cs typeface="+mn-cs"/>
              </a:defRPr>
            </a:pPr>
            <a:r>
              <a:rPr lang="en-US" sz="1800" b="1">
                <a:solidFill>
                  <a:schemeClr val="tx1"/>
                </a:solidFill>
              </a:rPr>
              <a:t>Chart 16:</a:t>
            </a:r>
            <a:r>
              <a:rPr lang="en-US" sz="1800" b="1" baseline="0">
                <a:solidFill>
                  <a:schemeClr val="tx1"/>
                </a:solidFill>
              </a:rPr>
              <a:t> </a:t>
            </a:r>
            <a:r>
              <a:rPr lang="en-US" sz="1800" b="1">
                <a:solidFill>
                  <a:schemeClr val="tx1"/>
                </a:solidFill>
              </a:rPr>
              <a:t>Change</a:t>
            </a:r>
            <a:r>
              <a:rPr lang="en-US" sz="1800" b="1" baseline="0">
                <a:solidFill>
                  <a:schemeClr val="tx1"/>
                </a:solidFill>
              </a:rPr>
              <a:t> in Monthly Production, August 1946-August 1947</a:t>
            </a:r>
            <a:endParaRPr lang="en-US" sz="1800" b="1">
              <a:solidFill>
                <a:schemeClr val="tx1"/>
              </a:solidFill>
            </a:endParaRP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'Tab 15'!$H$4:$H$28</c:f>
              <c:strCache>
                <c:ptCount val="25"/>
                <c:pt idx="0">
                  <c:v>Coal</c:v>
                </c:pt>
                <c:pt idx="1">
                  <c:v>Mineral Oil</c:v>
                </c:pt>
                <c:pt idx="2">
                  <c:v>Bauxite</c:v>
                </c:pt>
                <c:pt idx="3">
                  <c:v>Iron Ore</c:v>
                </c:pt>
                <c:pt idx="4">
                  <c:v>Manganese Ore</c:v>
                </c:pt>
                <c:pt idx="5">
                  <c:v>Pig Iron</c:v>
                </c:pt>
                <c:pt idx="6">
                  <c:v>Ferro-Manganese</c:v>
                </c:pt>
                <c:pt idx="7">
                  <c:v>Steel</c:v>
                </c:pt>
                <c:pt idx="8">
                  <c:v>Rolled Steel Products</c:v>
                </c:pt>
                <c:pt idx="9">
                  <c:v>Aluminum</c:v>
                </c:pt>
                <c:pt idx="10">
                  <c:v>Tiles</c:v>
                </c:pt>
                <c:pt idx="11">
                  <c:v>Bricks</c:v>
                </c:pt>
                <c:pt idx="12">
                  <c:v>Cement</c:v>
                </c:pt>
                <c:pt idx="13">
                  <c:v>Lime</c:v>
                </c:pt>
                <c:pt idx="14">
                  <c:v>Glass</c:v>
                </c:pt>
                <c:pt idx="15">
                  <c:v>Cotton fabrics</c:v>
                </c:pt>
                <c:pt idx="16">
                  <c:v>Cotton yarn</c:v>
                </c:pt>
                <c:pt idx="17">
                  <c:v>Woollen fabrics</c:v>
                </c:pt>
                <c:pt idx="18">
                  <c:v>Woollen yarn</c:v>
                </c:pt>
                <c:pt idx="19">
                  <c:v>Silk and rayon fabrics</c:v>
                </c:pt>
                <c:pt idx="20">
                  <c:v>Flax and hemp fabrics</c:v>
                </c:pt>
                <c:pt idx="21">
                  <c:v>Sole leather</c:v>
                </c:pt>
                <c:pt idx="22">
                  <c:v>Fatty uppers</c:v>
                </c:pt>
                <c:pt idx="23">
                  <c:v>Uppers tanned w/ chrome</c:v>
                </c:pt>
                <c:pt idx="24">
                  <c:v>Footwear, all sorts</c:v>
                </c:pt>
              </c:strCache>
            </c:strRef>
          </c:cat>
          <c:val>
            <c:numRef>
              <c:f>'Tab 15'!$O$4:$O$28</c:f>
              <c:numCache>
                <c:formatCode>0.00%</c:formatCode>
                <c:ptCount val="25"/>
                <c:pt idx="0">
                  <c:v>0.30281690140845074</c:v>
                </c:pt>
                <c:pt idx="1">
                  <c:v>-0.19718309859154923</c:v>
                </c:pt>
                <c:pt idx="2">
                  <c:v>1.6569343065693432</c:v>
                </c:pt>
                <c:pt idx="3">
                  <c:v>0.39610389610389607</c:v>
                </c:pt>
                <c:pt idx="4">
                  <c:v>1.2083333333333333</c:v>
                </c:pt>
                <c:pt idx="5">
                  <c:v>0.63218390804597702</c:v>
                </c:pt>
                <c:pt idx="6">
                  <c:v>3.75</c:v>
                </c:pt>
                <c:pt idx="7">
                  <c:v>0.67261904761904767</c:v>
                </c:pt>
                <c:pt idx="8">
                  <c:v>0.46153846153846134</c:v>
                </c:pt>
                <c:pt idx="9">
                  <c:v>1</c:v>
                </c:pt>
                <c:pt idx="10">
                  <c:v>2.6175000000000002</c:v>
                </c:pt>
                <c:pt idx="11">
                  <c:v>4.6130622304374613</c:v>
                </c:pt>
                <c:pt idx="12">
                  <c:v>0.8571428571428571</c:v>
                </c:pt>
                <c:pt idx="13">
                  <c:v>1.4285714285714286</c:v>
                </c:pt>
                <c:pt idx="14">
                  <c:v>2.2000000000000002</c:v>
                </c:pt>
                <c:pt idx="15">
                  <c:v>2.1100424328147098</c:v>
                </c:pt>
                <c:pt idx="16">
                  <c:v>0.68571428571428572</c:v>
                </c:pt>
                <c:pt idx="17">
                  <c:v>1.2326283987915407</c:v>
                </c:pt>
                <c:pt idx="18">
                  <c:v>1.875</c:v>
                </c:pt>
                <c:pt idx="19">
                  <c:v>1.4472049689440993</c:v>
                </c:pt>
                <c:pt idx="20">
                  <c:v>2.5217391304347827</c:v>
                </c:pt>
                <c:pt idx="21">
                  <c:v>2.3358208955223878</c:v>
                </c:pt>
                <c:pt idx="22">
                  <c:v>2.6115107913669067</c:v>
                </c:pt>
                <c:pt idx="23">
                  <c:v>1.3717948717948718</c:v>
                </c:pt>
                <c:pt idx="24">
                  <c:v>4.55</c:v>
                </c:pt>
              </c:numCache>
            </c:numRef>
          </c:val>
          <c:extLst xmlns:c16r2="http://schemas.microsoft.com/office/drawing/2015/06/chart">
            <c:ext xmlns:c16="http://schemas.microsoft.com/office/drawing/2014/chart" uri="{C3380CC4-5D6E-409C-BE32-E72D297353CC}">
              <c16:uniqueId val="{00000000-DFBB-4BC0-819E-87F02F5A9F1B}"/>
            </c:ext>
          </c:extLst>
        </c:ser>
        <c:dLbls>
          <c:showLegendKey val="0"/>
          <c:showVal val="0"/>
          <c:showCatName val="0"/>
          <c:showSerName val="0"/>
          <c:showPercent val="0"/>
          <c:showBubbleSize val="0"/>
        </c:dLbls>
        <c:gapWidth val="50"/>
        <c:overlap val="-27"/>
        <c:axId val="871620000"/>
        <c:axId val="871616192"/>
      </c:barChart>
      <c:catAx>
        <c:axId val="87162000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871616192"/>
        <c:crosses val="autoZero"/>
        <c:auto val="1"/>
        <c:lblAlgn val="ctr"/>
        <c:lblOffset val="100"/>
        <c:noMultiLvlLbl val="0"/>
      </c:catAx>
      <c:valAx>
        <c:axId val="871616192"/>
        <c:scaling>
          <c:orientation val="minMax"/>
          <c:max val="5"/>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71620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Chart 14: Production Per</a:t>
            </a:r>
            <a:r>
              <a:rPr lang="en-US" sz="1800" b="1" baseline="0">
                <a:solidFill>
                  <a:sysClr val="windowText" lastClr="000000"/>
                </a:solidFill>
              </a:rPr>
              <a:t> Year (Log Scale)</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1380053436482696"/>
          <c:y val="0.1236625796875134"/>
          <c:w val="0.86351248111650925"/>
          <c:h val="0.45941049115250526"/>
        </c:manualLayout>
      </c:layout>
      <c:barChart>
        <c:barDir val="col"/>
        <c:grouping val="clustered"/>
        <c:varyColors val="0"/>
        <c:ser>
          <c:idx val="0"/>
          <c:order val="0"/>
          <c:tx>
            <c:strRef>
              <c:f>'Tab 15'!$J$3</c:f>
              <c:strCache>
                <c:ptCount val="1"/>
                <c:pt idx="0">
                  <c:v>1938</c:v>
                </c:pt>
              </c:strCache>
            </c:strRef>
          </c:tx>
          <c:spPr>
            <a:solidFill>
              <a:schemeClr val="bg1">
                <a:lumMod val="50000"/>
              </a:schemeClr>
            </a:solidFill>
            <a:ln>
              <a:noFill/>
            </a:ln>
            <a:effectLst/>
          </c:spPr>
          <c:invertIfNegative val="0"/>
          <c:cat>
            <c:strRef>
              <c:f>'Tab 15'!$H$4:$H$28</c:f>
              <c:strCache>
                <c:ptCount val="25"/>
                <c:pt idx="0">
                  <c:v>Coal</c:v>
                </c:pt>
                <c:pt idx="1">
                  <c:v>Mineral Oil</c:v>
                </c:pt>
                <c:pt idx="2">
                  <c:v>Bauxite</c:v>
                </c:pt>
                <c:pt idx="3">
                  <c:v>Iron Ore</c:v>
                </c:pt>
                <c:pt idx="4">
                  <c:v>Manganese Ore</c:v>
                </c:pt>
                <c:pt idx="5">
                  <c:v>Pig Iron</c:v>
                </c:pt>
                <c:pt idx="6">
                  <c:v>Ferro-Manganese</c:v>
                </c:pt>
                <c:pt idx="7">
                  <c:v>Steel</c:v>
                </c:pt>
                <c:pt idx="8">
                  <c:v>Rolled Steel Products</c:v>
                </c:pt>
                <c:pt idx="9">
                  <c:v>Aluminum</c:v>
                </c:pt>
                <c:pt idx="10">
                  <c:v>Tiles</c:v>
                </c:pt>
                <c:pt idx="11">
                  <c:v>Bricks</c:v>
                </c:pt>
                <c:pt idx="12">
                  <c:v>Cement</c:v>
                </c:pt>
                <c:pt idx="13">
                  <c:v>Lime</c:v>
                </c:pt>
                <c:pt idx="14">
                  <c:v>Glass</c:v>
                </c:pt>
                <c:pt idx="15">
                  <c:v>Cotton fabrics</c:v>
                </c:pt>
                <c:pt idx="16">
                  <c:v>Cotton yarn</c:v>
                </c:pt>
                <c:pt idx="17">
                  <c:v>Woollen fabrics</c:v>
                </c:pt>
                <c:pt idx="18">
                  <c:v>Woollen yarn</c:v>
                </c:pt>
                <c:pt idx="19">
                  <c:v>Silk and rayon fabrics</c:v>
                </c:pt>
                <c:pt idx="20">
                  <c:v>Flax and hemp fabrics</c:v>
                </c:pt>
                <c:pt idx="21">
                  <c:v>Sole leather</c:v>
                </c:pt>
                <c:pt idx="22">
                  <c:v>Fatty uppers</c:v>
                </c:pt>
                <c:pt idx="23">
                  <c:v>Uppers tanned w/ chrome</c:v>
                </c:pt>
                <c:pt idx="24">
                  <c:v>Footwear, all sorts</c:v>
                </c:pt>
              </c:strCache>
            </c:strRef>
          </c:cat>
          <c:val>
            <c:numRef>
              <c:f>'Tab 15'!$J$4:$J$28</c:f>
              <c:numCache>
                <c:formatCode>General</c:formatCode>
                <c:ptCount val="25"/>
                <c:pt idx="0">
                  <c:v>9359.7000000000007</c:v>
                </c:pt>
                <c:pt idx="1">
                  <c:v>42.9</c:v>
                </c:pt>
                <c:pt idx="2">
                  <c:v>467.1</c:v>
                </c:pt>
                <c:pt idx="3">
                  <c:v>369.9</c:v>
                </c:pt>
                <c:pt idx="4">
                  <c:v>46.2</c:v>
                </c:pt>
                <c:pt idx="5">
                  <c:v>335.5</c:v>
                </c:pt>
                <c:pt idx="7">
                  <c:v>647.5</c:v>
                </c:pt>
                <c:pt idx="8">
                  <c:v>384.6</c:v>
                </c:pt>
                <c:pt idx="9">
                  <c:v>1.5</c:v>
                </c:pt>
                <c:pt idx="10">
                  <c:v>90996</c:v>
                </c:pt>
                <c:pt idx="11">
                  <c:v>480192</c:v>
                </c:pt>
                <c:pt idx="12">
                  <c:v>426</c:v>
                </c:pt>
                <c:pt idx="13">
                  <c:v>186</c:v>
                </c:pt>
                <c:pt idx="14">
                  <c:v>3600</c:v>
                </c:pt>
                <c:pt idx="15">
                  <c:v>147188</c:v>
                </c:pt>
                <c:pt idx="16">
                  <c:v>20988</c:v>
                </c:pt>
                <c:pt idx="17">
                  <c:v>20004</c:v>
                </c:pt>
                <c:pt idx="18">
                  <c:v>10704</c:v>
                </c:pt>
                <c:pt idx="19">
                  <c:v>39996</c:v>
                </c:pt>
                <c:pt idx="20">
                  <c:v>4500</c:v>
                </c:pt>
                <c:pt idx="21">
                  <c:v>7755.6</c:v>
                </c:pt>
                <c:pt idx="22">
                  <c:v>1350</c:v>
                </c:pt>
                <c:pt idx="23">
                  <c:v>14496</c:v>
                </c:pt>
                <c:pt idx="24">
                  <c:v>6000</c:v>
                </c:pt>
              </c:numCache>
            </c:numRef>
          </c:val>
          <c:extLst xmlns:c16r2="http://schemas.microsoft.com/office/drawing/2015/06/chart">
            <c:ext xmlns:c16="http://schemas.microsoft.com/office/drawing/2014/chart" uri="{C3380CC4-5D6E-409C-BE32-E72D297353CC}">
              <c16:uniqueId val="{00000000-1EF6-4F42-97A0-2B23DCF30ECF}"/>
            </c:ext>
          </c:extLst>
        </c:ser>
        <c:ser>
          <c:idx val="1"/>
          <c:order val="1"/>
          <c:tx>
            <c:strRef>
              <c:f>'Tab 15'!$K$3</c:f>
              <c:strCache>
                <c:ptCount val="1"/>
                <c:pt idx="0">
                  <c:v>1946</c:v>
                </c:pt>
              </c:strCache>
            </c:strRef>
          </c:tx>
          <c:spPr>
            <a:solidFill>
              <a:schemeClr val="accent1">
                <a:lumMod val="60000"/>
                <a:lumOff val="40000"/>
              </a:schemeClr>
            </a:solidFill>
            <a:ln>
              <a:noFill/>
            </a:ln>
            <a:effectLst/>
          </c:spPr>
          <c:invertIfNegative val="0"/>
          <c:cat>
            <c:strRef>
              <c:f>'Tab 15'!$H$4:$H$28</c:f>
              <c:strCache>
                <c:ptCount val="25"/>
                <c:pt idx="0">
                  <c:v>Coal</c:v>
                </c:pt>
                <c:pt idx="1">
                  <c:v>Mineral Oil</c:v>
                </c:pt>
                <c:pt idx="2">
                  <c:v>Bauxite</c:v>
                </c:pt>
                <c:pt idx="3">
                  <c:v>Iron Ore</c:v>
                </c:pt>
                <c:pt idx="4">
                  <c:v>Manganese Ore</c:v>
                </c:pt>
                <c:pt idx="5">
                  <c:v>Pig Iron</c:v>
                </c:pt>
                <c:pt idx="6">
                  <c:v>Ferro-Manganese</c:v>
                </c:pt>
                <c:pt idx="7">
                  <c:v>Steel</c:v>
                </c:pt>
                <c:pt idx="8">
                  <c:v>Rolled Steel Products</c:v>
                </c:pt>
                <c:pt idx="9">
                  <c:v>Aluminum</c:v>
                </c:pt>
                <c:pt idx="10">
                  <c:v>Tiles</c:v>
                </c:pt>
                <c:pt idx="11">
                  <c:v>Bricks</c:v>
                </c:pt>
                <c:pt idx="12">
                  <c:v>Cement</c:v>
                </c:pt>
                <c:pt idx="13">
                  <c:v>Lime</c:v>
                </c:pt>
                <c:pt idx="14">
                  <c:v>Glass</c:v>
                </c:pt>
                <c:pt idx="15">
                  <c:v>Cotton fabrics</c:v>
                </c:pt>
                <c:pt idx="16">
                  <c:v>Cotton yarn</c:v>
                </c:pt>
                <c:pt idx="17">
                  <c:v>Woollen fabrics</c:v>
                </c:pt>
                <c:pt idx="18">
                  <c:v>Woollen yarn</c:v>
                </c:pt>
                <c:pt idx="19">
                  <c:v>Silk and rayon fabrics</c:v>
                </c:pt>
                <c:pt idx="20">
                  <c:v>Flax and hemp fabrics</c:v>
                </c:pt>
                <c:pt idx="21">
                  <c:v>Sole leather</c:v>
                </c:pt>
                <c:pt idx="22">
                  <c:v>Fatty uppers</c:v>
                </c:pt>
                <c:pt idx="23">
                  <c:v>Uppers tanned w/ chrome</c:v>
                </c:pt>
                <c:pt idx="24">
                  <c:v>Footwear, all sorts</c:v>
                </c:pt>
              </c:strCache>
            </c:strRef>
          </c:cat>
          <c:val>
            <c:numRef>
              <c:f>'Tab 15'!$K$4:$K$28</c:f>
              <c:numCache>
                <c:formatCode>General</c:formatCode>
                <c:ptCount val="25"/>
                <c:pt idx="0">
                  <c:v>6342</c:v>
                </c:pt>
                <c:pt idx="1">
                  <c:v>679.4</c:v>
                </c:pt>
                <c:pt idx="2">
                  <c:v>125</c:v>
                </c:pt>
                <c:pt idx="3">
                  <c:v>132.9</c:v>
                </c:pt>
                <c:pt idx="4">
                  <c:v>52.8</c:v>
                </c:pt>
                <c:pt idx="5">
                  <c:v>158.80000000000001</c:v>
                </c:pt>
                <c:pt idx="6">
                  <c:v>1.5</c:v>
                </c:pt>
                <c:pt idx="7">
                  <c:v>354.1</c:v>
                </c:pt>
                <c:pt idx="8">
                  <c:v>197.7</c:v>
                </c:pt>
                <c:pt idx="9">
                  <c:v>2.1</c:v>
                </c:pt>
                <c:pt idx="10">
                  <c:v>38500</c:v>
                </c:pt>
                <c:pt idx="11">
                  <c:v>64452</c:v>
                </c:pt>
                <c:pt idx="12">
                  <c:v>132</c:v>
                </c:pt>
                <c:pt idx="13">
                  <c:v>84</c:v>
                </c:pt>
                <c:pt idx="14">
                  <c:v>1200</c:v>
                </c:pt>
                <c:pt idx="15">
                  <c:v>64699</c:v>
                </c:pt>
                <c:pt idx="16">
                  <c:v>8910</c:v>
                </c:pt>
                <c:pt idx="17">
                  <c:v>3471</c:v>
                </c:pt>
                <c:pt idx="18">
                  <c:v>1834</c:v>
                </c:pt>
                <c:pt idx="19">
                  <c:v>5641</c:v>
                </c:pt>
                <c:pt idx="20">
                  <c:v>3931</c:v>
                </c:pt>
                <c:pt idx="21">
                  <c:v>1983.6</c:v>
                </c:pt>
                <c:pt idx="22">
                  <c:v>304.8</c:v>
                </c:pt>
                <c:pt idx="23">
                  <c:v>4776</c:v>
                </c:pt>
                <c:pt idx="24">
                  <c:v>480</c:v>
                </c:pt>
              </c:numCache>
            </c:numRef>
          </c:val>
          <c:extLst xmlns:c16r2="http://schemas.microsoft.com/office/drawing/2015/06/chart">
            <c:ext xmlns:c16="http://schemas.microsoft.com/office/drawing/2014/chart" uri="{C3380CC4-5D6E-409C-BE32-E72D297353CC}">
              <c16:uniqueId val="{00000001-1EF6-4F42-97A0-2B23DCF30ECF}"/>
            </c:ext>
          </c:extLst>
        </c:ser>
        <c:ser>
          <c:idx val="2"/>
          <c:order val="2"/>
          <c:tx>
            <c:strRef>
              <c:f>'Tab 15'!$L$3</c:f>
              <c:strCache>
                <c:ptCount val="1"/>
                <c:pt idx="0">
                  <c:v>1946/47</c:v>
                </c:pt>
              </c:strCache>
            </c:strRef>
          </c:tx>
          <c:spPr>
            <a:solidFill>
              <a:srgbClr val="C00000"/>
            </a:solidFill>
            <a:ln>
              <a:noFill/>
            </a:ln>
            <a:effectLst/>
          </c:spPr>
          <c:invertIfNegative val="0"/>
          <c:cat>
            <c:strRef>
              <c:f>'Tab 15'!$H$4:$H$28</c:f>
              <c:strCache>
                <c:ptCount val="25"/>
                <c:pt idx="0">
                  <c:v>Coal</c:v>
                </c:pt>
                <c:pt idx="1">
                  <c:v>Mineral Oil</c:v>
                </c:pt>
                <c:pt idx="2">
                  <c:v>Bauxite</c:v>
                </c:pt>
                <c:pt idx="3">
                  <c:v>Iron Ore</c:v>
                </c:pt>
                <c:pt idx="4">
                  <c:v>Manganese Ore</c:v>
                </c:pt>
                <c:pt idx="5">
                  <c:v>Pig Iron</c:v>
                </c:pt>
                <c:pt idx="6">
                  <c:v>Ferro-Manganese</c:v>
                </c:pt>
                <c:pt idx="7">
                  <c:v>Steel</c:v>
                </c:pt>
                <c:pt idx="8">
                  <c:v>Rolled Steel Products</c:v>
                </c:pt>
                <c:pt idx="9">
                  <c:v>Aluminum</c:v>
                </c:pt>
                <c:pt idx="10">
                  <c:v>Tiles</c:v>
                </c:pt>
                <c:pt idx="11">
                  <c:v>Bricks</c:v>
                </c:pt>
                <c:pt idx="12">
                  <c:v>Cement</c:v>
                </c:pt>
                <c:pt idx="13">
                  <c:v>Lime</c:v>
                </c:pt>
                <c:pt idx="14">
                  <c:v>Glass</c:v>
                </c:pt>
                <c:pt idx="15">
                  <c:v>Cotton fabrics</c:v>
                </c:pt>
                <c:pt idx="16">
                  <c:v>Cotton yarn</c:v>
                </c:pt>
                <c:pt idx="17">
                  <c:v>Woollen fabrics</c:v>
                </c:pt>
                <c:pt idx="18">
                  <c:v>Woollen yarn</c:v>
                </c:pt>
                <c:pt idx="19">
                  <c:v>Silk and rayon fabrics</c:v>
                </c:pt>
                <c:pt idx="20">
                  <c:v>Flax and hemp fabrics</c:v>
                </c:pt>
                <c:pt idx="21">
                  <c:v>Sole leather</c:v>
                </c:pt>
                <c:pt idx="22">
                  <c:v>Fatty uppers</c:v>
                </c:pt>
                <c:pt idx="23">
                  <c:v>Uppers tanned w/ chrome</c:v>
                </c:pt>
                <c:pt idx="24">
                  <c:v>Footwear, all sorts</c:v>
                </c:pt>
              </c:strCache>
            </c:strRef>
          </c:cat>
          <c:val>
            <c:numRef>
              <c:f>'Tab 15'!$L$4:$L$28</c:f>
              <c:numCache>
                <c:formatCode>General</c:formatCode>
                <c:ptCount val="25"/>
                <c:pt idx="0">
                  <c:v>7746.7</c:v>
                </c:pt>
                <c:pt idx="1">
                  <c:v>642.29999999999995</c:v>
                </c:pt>
                <c:pt idx="2">
                  <c:v>248.1</c:v>
                </c:pt>
                <c:pt idx="3">
                  <c:v>214.3</c:v>
                </c:pt>
                <c:pt idx="4">
                  <c:v>88.8</c:v>
                </c:pt>
                <c:pt idx="5">
                  <c:v>258.2</c:v>
                </c:pt>
                <c:pt idx="6">
                  <c:v>3.8</c:v>
                </c:pt>
                <c:pt idx="7">
                  <c:v>510.4</c:v>
                </c:pt>
                <c:pt idx="8">
                  <c:v>282</c:v>
                </c:pt>
                <c:pt idx="9">
                  <c:v>3.7</c:v>
                </c:pt>
                <c:pt idx="10">
                  <c:v>50369</c:v>
                </c:pt>
                <c:pt idx="11">
                  <c:v>81166</c:v>
                </c:pt>
                <c:pt idx="12">
                  <c:v>143</c:v>
                </c:pt>
                <c:pt idx="13">
                  <c:v>120</c:v>
                </c:pt>
                <c:pt idx="14">
                  <c:v>3099</c:v>
                </c:pt>
                <c:pt idx="15">
                  <c:v>107724</c:v>
                </c:pt>
                <c:pt idx="16">
                  <c:v>15461</c:v>
                </c:pt>
                <c:pt idx="17">
                  <c:v>6650</c:v>
                </c:pt>
                <c:pt idx="18">
                  <c:v>4120</c:v>
                </c:pt>
                <c:pt idx="19">
                  <c:v>6574</c:v>
                </c:pt>
                <c:pt idx="20">
                  <c:v>5539</c:v>
                </c:pt>
                <c:pt idx="21">
                  <c:v>3528.2</c:v>
                </c:pt>
                <c:pt idx="22">
                  <c:v>315.8</c:v>
                </c:pt>
                <c:pt idx="23">
                  <c:v>6237</c:v>
                </c:pt>
                <c:pt idx="24">
                  <c:v>1634</c:v>
                </c:pt>
              </c:numCache>
            </c:numRef>
          </c:val>
          <c:extLst xmlns:c16r2="http://schemas.microsoft.com/office/drawing/2015/06/chart">
            <c:ext xmlns:c16="http://schemas.microsoft.com/office/drawing/2014/chart" uri="{C3380CC4-5D6E-409C-BE32-E72D297353CC}">
              <c16:uniqueId val="{00000002-1EF6-4F42-97A0-2B23DCF30ECF}"/>
            </c:ext>
          </c:extLst>
        </c:ser>
        <c:dLbls>
          <c:showLegendKey val="0"/>
          <c:showVal val="0"/>
          <c:showCatName val="0"/>
          <c:showSerName val="0"/>
          <c:showPercent val="0"/>
          <c:showBubbleSize val="0"/>
        </c:dLbls>
        <c:gapWidth val="75"/>
        <c:overlap val="-27"/>
        <c:axId val="871612384"/>
        <c:axId val="871621088"/>
      </c:barChart>
      <c:catAx>
        <c:axId val="871612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871621088"/>
        <c:crosses val="autoZero"/>
        <c:auto val="1"/>
        <c:lblAlgn val="ctr"/>
        <c:lblOffset val="100"/>
        <c:noMultiLvlLbl val="0"/>
      </c:catAx>
      <c:valAx>
        <c:axId val="871621088"/>
        <c:scaling>
          <c:logBase val="10"/>
          <c:orientation val="minMax"/>
        </c:scaling>
        <c:delete val="0"/>
        <c:axPos val="l"/>
        <c:majorGridlines>
          <c:spPr>
            <a:ln w="9525" cap="flat" cmpd="sng" algn="ctr">
              <a:solidFill>
                <a:schemeClr val="tx1">
                  <a:lumMod val="15000"/>
                  <a:lumOff val="85000"/>
                </a:schemeClr>
              </a:solidFill>
              <a:prstDash val="sysDash"/>
              <a:round/>
            </a:ln>
            <a:effectLst/>
          </c:spPr>
        </c:majorGridlines>
        <c:numFmt formatCode="General"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871612384"/>
        <c:crosses val="autoZero"/>
        <c:crossBetween val="between"/>
      </c:valAx>
      <c:spPr>
        <a:noFill/>
        <a:ln>
          <a:noFill/>
        </a:ln>
        <a:effectLst/>
      </c:spPr>
    </c:plotArea>
    <c:legend>
      <c:legendPos val="b"/>
      <c:layout>
        <c:manualLayout>
          <c:xMode val="edge"/>
          <c:yMode val="edge"/>
          <c:x val="0.12150056241094168"/>
          <c:y val="0.13027758472592835"/>
          <c:w val="0.38266363062016451"/>
          <c:h val="7.6684484637362826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2000"/>
            </a:pPr>
            <a:r>
              <a:rPr lang="en-US" sz="1800"/>
              <a:t>Chart 15: Production in 1946/1947 (% of 1938)</a:t>
            </a:r>
          </a:p>
        </c:rich>
      </c:tx>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strRef>
              <c:f>'Tab 15'!$H$4:$H$28</c:f>
              <c:strCache>
                <c:ptCount val="25"/>
                <c:pt idx="0">
                  <c:v>Coal</c:v>
                </c:pt>
                <c:pt idx="1">
                  <c:v>Mineral Oil</c:v>
                </c:pt>
                <c:pt idx="2">
                  <c:v>Bauxite</c:v>
                </c:pt>
                <c:pt idx="3">
                  <c:v>Iron Ore</c:v>
                </c:pt>
                <c:pt idx="4">
                  <c:v>Manganese Ore</c:v>
                </c:pt>
                <c:pt idx="5">
                  <c:v>Pig Iron</c:v>
                </c:pt>
                <c:pt idx="6">
                  <c:v>Ferro-Manganese</c:v>
                </c:pt>
                <c:pt idx="7">
                  <c:v>Steel</c:v>
                </c:pt>
                <c:pt idx="8">
                  <c:v>Rolled Steel Products</c:v>
                </c:pt>
                <c:pt idx="9">
                  <c:v>Aluminum</c:v>
                </c:pt>
                <c:pt idx="10">
                  <c:v>Tiles</c:v>
                </c:pt>
                <c:pt idx="11">
                  <c:v>Bricks</c:v>
                </c:pt>
                <c:pt idx="12">
                  <c:v>Cement</c:v>
                </c:pt>
                <c:pt idx="13">
                  <c:v>Lime</c:v>
                </c:pt>
                <c:pt idx="14">
                  <c:v>Glass</c:v>
                </c:pt>
                <c:pt idx="15">
                  <c:v>Cotton fabrics</c:v>
                </c:pt>
                <c:pt idx="16">
                  <c:v>Cotton yarn</c:v>
                </c:pt>
                <c:pt idx="17">
                  <c:v>Woollen fabrics</c:v>
                </c:pt>
                <c:pt idx="18">
                  <c:v>Woollen yarn</c:v>
                </c:pt>
                <c:pt idx="19">
                  <c:v>Silk and rayon fabrics</c:v>
                </c:pt>
                <c:pt idx="20">
                  <c:v>Flax and hemp fabrics</c:v>
                </c:pt>
                <c:pt idx="21">
                  <c:v>Sole leather</c:v>
                </c:pt>
                <c:pt idx="22">
                  <c:v>Fatty uppers</c:v>
                </c:pt>
                <c:pt idx="23">
                  <c:v>Uppers tanned w/ chrome</c:v>
                </c:pt>
                <c:pt idx="24">
                  <c:v>Footwear, all sorts</c:v>
                </c:pt>
              </c:strCache>
            </c:strRef>
          </c:cat>
          <c:val>
            <c:numRef>
              <c:f>'Tab 15'!$P$4:$P$28</c:f>
              <c:numCache>
                <c:formatCode>0.00%</c:formatCode>
                <c:ptCount val="25"/>
                <c:pt idx="0">
                  <c:v>0.8276654166266012</c:v>
                </c:pt>
                <c:pt idx="1">
                  <c:v>14.972027972027972</c:v>
                </c:pt>
                <c:pt idx="2">
                  <c:v>0.53114964675658316</c:v>
                </c:pt>
                <c:pt idx="3">
                  <c:v>0.57934576912679114</c:v>
                </c:pt>
                <c:pt idx="4">
                  <c:v>1.9220779220779218</c:v>
                </c:pt>
                <c:pt idx="5">
                  <c:v>0.76959761549925476</c:v>
                </c:pt>
                <c:pt idx="7">
                  <c:v>0.78826254826254827</c:v>
                </c:pt>
                <c:pt idx="8">
                  <c:v>0.73322932917316685</c:v>
                </c:pt>
                <c:pt idx="9">
                  <c:v>2.4666666666666668</c:v>
                </c:pt>
                <c:pt idx="10">
                  <c:v>0.5535298254868346</c:v>
                </c:pt>
                <c:pt idx="11">
                  <c:v>0.16902822204451554</c:v>
                </c:pt>
                <c:pt idx="12">
                  <c:v>0.33568075117370894</c:v>
                </c:pt>
                <c:pt idx="13">
                  <c:v>0.64516129032258063</c:v>
                </c:pt>
                <c:pt idx="14">
                  <c:v>0.86083333333333334</c:v>
                </c:pt>
                <c:pt idx="15">
                  <c:v>0.73188031633013562</c:v>
                </c:pt>
                <c:pt idx="16">
                  <c:v>0.73665904326281684</c:v>
                </c:pt>
                <c:pt idx="17">
                  <c:v>0.33243351329734055</c:v>
                </c:pt>
                <c:pt idx="18">
                  <c:v>0.38490284005979075</c:v>
                </c:pt>
                <c:pt idx="19">
                  <c:v>0.16436643664366438</c:v>
                </c:pt>
                <c:pt idx="20">
                  <c:v>1.2308888888888889</c:v>
                </c:pt>
                <c:pt idx="21">
                  <c:v>0.45492289442467376</c:v>
                </c:pt>
                <c:pt idx="22">
                  <c:v>0.23392592592592593</c:v>
                </c:pt>
                <c:pt idx="23">
                  <c:v>0.43025662251655628</c:v>
                </c:pt>
                <c:pt idx="24">
                  <c:v>0.27233333333333332</c:v>
                </c:pt>
              </c:numCache>
            </c:numRef>
          </c:val>
          <c:extLst xmlns:c16r2="http://schemas.microsoft.com/office/drawing/2015/06/chart">
            <c:ext xmlns:c16="http://schemas.microsoft.com/office/drawing/2014/chart" uri="{C3380CC4-5D6E-409C-BE32-E72D297353CC}">
              <c16:uniqueId val="{00000000-2A3E-464F-B66D-36377C581A49}"/>
            </c:ext>
          </c:extLst>
        </c:ser>
        <c:dLbls>
          <c:showLegendKey val="0"/>
          <c:showVal val="0"/>
          <c:showCatName val="0"/>
          <c:showSerName val="0"/>
          <c:showPercent val="0"/>
          <c:showBubbleSize val="0"/>
        </c:dLbls>
        <c:gapWidth val="50"/>
        <c:axId val="871622720"/>
        <c:axId val="871611296"/>
      </c:barChart>
      <c:catAx>
        <c:axId val="87162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871611296"/>
        <c:crosses val="autoZero"/>
        <c:auto val="1"/>
        <c:lblAlgn val="ctr"/>
        <c:lblOffset val="100"/>
        <c:noMultiLvlLbl val="0"/>
      </c:catAx>
      <c:valAx>
        <c:axId val="871611296"/>
        <c:scaling>
          <c:orientation val="minMax"/>
          <c:max val="3"/>
          <c:min val="0"/>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65000"/>
              </a:schemeClr>
            </a:solidFill>
          </a:ln>
          <a:effectLst/>
        </c:spPr>
        <c:txPr>
          <a:bodyPr rot="-60000000" vert="horz"/>
          <a:lstStyle/>
          <a:p>
            <a:pPr>
              <a:defRPr sz="1400"/>
            </a:pPr>
            <a:endParaRPr lang="en-US"/>
          </a:p>
        </c:txPr>
        <c:crossAx val="87162272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r>
              <a:rPr lang="en-US" sz="1800" b="1">
                <a:solidFill>
                  <a:sysClr val="windowText" lastClr="000000"/>
                </a:solidFill>
              </a:rPr>
              <a:t>Chart</a:t>
            </a:r>
            <a:r>
              <a:rPr lang="en-US" sz="1800" b="1" baseline="0">
                <a:solidFill>
                  <a:sysClr val="windowText" lastClr="000000"/>
                </a:solidFill>
              </a:rPr>
              <a:t> 4: </a:t>
            </a:r>
            <a:r>
              <a:rPr lang="en-US" sz="1800" b="1">
                <a:solidFill>
                  <a:sysClr val="windowText" lastClr="000000"/>
                </a:solidFill>
              </a:rPr>
              <a:t>Coal Production, 1945-1947 (tonnes</a:t>
            </a:r>
            <a:r>
              <a:rPr lang="en-US" sz="1600" b="1" baseline="0">
                <a:solidFill>
                  <a:sysClr val="windowText" lastClr="000000"/>
                </a:solidFill>
              </a:rPr>
              <a:t>)</a:t>
            </a:r>
            <a:endParaRPr lang="en-US" sz="1600" b="1">
              <a:solidFill>
                <a:sysClr val="windowText" lastClr="000000"/>
              </a:solidFill>
            </a:endParaRPr>
          </a:p>
        </c:rich>
      </c:tx>
      <c:layout>
        <c:manualLayout>
          <c:xMode val="edge"/>
          <c:yMode val="edge"/>
          <c:x val="0.18923566181761919"/>
          <c:y val="2.2038567493112948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4063510382466399"/>
          <c:y val="0.1251605532779477"/>
          <c:w val="0.82056756086535532"/>
          <c:h val="0.66477198614635979"/>
        </c:manualLayout>
      </c:layout>
      <c:lineChart>
        <c:grouping val="standard"/>
        <c:varyColors val="0"/>
        <c:ser>
          <c:idx val="0"/>
          <c:order val="0"/>
          <c:spPr>
            <a:ln w="50800" cap="rnd">
              <a:solidFill>
                <a:schemeClr val="accent1"/>
              </a:solidFill>
              <a:round/>
            </a:ln>
            <a:effectLst/>
          </c:spPr>
          <c:marker>
            <c:symbol val="none"/>
          </c:marker>
          <c:dLbls>
            <c:delete val="1"/>
          </c:dLbls>
          <c:cat>
            <c:numRef>
              <c:f>'Tab 3'!$A$12:$A$42</c:f>
              <c:numCache>
                <c:formatCode>mmm\-yy</c:formatCode>
                <c:ptCount val="31"/>
                <c:pt idx="0">
                  <c:v>16589</c:v>
                </c:pt>
                <c:pt idx="1">
                  <c:v>16619</c:v>
                </c:pt>
                <c:pt idx="2">
                  <c:v>16650</c:v>
                </c:pt>
                <c:pt idx="3">
                  <c:v>16681</c:v>
                </c:pt>
                <c:pt idx="4">
                  <c:v>16711</c:v>
                </c:pt>
                <c:pt idx="5">
                  <c:v>16742</c:v>
                </c:pt>
                <c:pt idx="6">
                  <c:v>16772</c:v>
                </c:pt>
                <c:pt idx="7">
                  <c:v>16803</c:v>
                </c:pt>
                <c:pt idx="8">
                  <c:v>16834</c:v>
                </c:pt>
                <c:pt idx="9">
                  <c:v>16862</c:v>
                </c:pt>
                <c:pt idx="10">
                  <c:v>16893</c:v>
                </c:pt>
                <c:pt idx="11">
                  <c:v>16923</c:v>
                </c:pt>
                <c:pt idx="12">
                  <c:v>16954</c:v>
                </c:pt>
                <c:pt idx="13">
                  <c:v>16984</c:v>
                </c:pt>
                <c:pt idx="14">
                  <c:v>17015</c:v>
                </c:pt>
                <c:pt idx="15">
                  <c:v>17046</c:v>
                </c:pt>
                <c:pt idx="16">
                  <c:v>17076</c:v>
                </c:pt>
                <c:pt idx="17">
                  <c:v>17107</c:v>
                </c:pt>
                <c:pt idx="18">
                  <c:v>17137</c:v>
                </c:pt>
                <c:pt idx="19">
                  <c:v>17168</c:v>
                </c:pt>
                <c:pt idx="20">
                  <c:v>17199</c:v>
                </c:pt>
                <c:pt idx="21">
                  <c:v>17227</c:v>
                </c:pt>
                <c:pt idx="22">
                  <c:v>17258</c:v>
                </c:pt>
                <c:pt idx="23">
                  <c:v>17288</c:v>
                </c:pt>
                <c:pt idx="24">
                  <c:v>17319</c:v>
                </c:pt>
                <c:pt idx="25">
                  <c:v>17349</c:v>
                </c:pt>
                <c:pt idx="26">
                  <c:v>17380</c:v>
                </c:pt>
                <c:pt idx="27">
                  <c:v>17411</c:v>
                </c:pt>
                <c:pt idx="28">
                  <c:v>17441</c:v>
                </c:pt>
                <c:pt idx="29">
                  <c:v>17472</c:v>
                </c:pt>
                <c:pt idx="30">
                  <c:v>17502</c:v>
                </c:pt>
              </c:numCache>
            </c:numRef>
          </c:cat>
          <c:val>
            <c:numRef>
              <c:f>'Tab 3'!$B$12:$B$42</c:f>
              <c:numCache>
                <c:formatCode>General</c:formatCode>
                <c:ptCount val="31"/>
                <c:pt idx="0">
                  <c:v>337483</c:v>
                </c:pt>
                <c:pt idx="1">
                  <c:v>344827</c:v>
                </c:pt>
                <c:pt idx="2">
                  <c:v>405038</c:v>
                </c:pt>
                <c:pt idx="3">
                  <c:v>419068</c:v>
                </c:pt>
                <c:pt idx="4">
                  <c:v>440406</c:v>
                </c:pt>
                <c:pt idx="5">
                  <c:v>415771</c:v>
                </c:pt>
                <c:pt idx="6">
                  <c:v>411014</c:v>
                </c:pt>
                <c:pt idx="7">
                  <c:v>494866</c:v>
                </c:pt>
                <c:pt idx="8">
                  <c:v>485207</c:v>
                </c:pt>
                <c:pt idx="9">
                  <c:v>512895</c:v>
                </c:pt>
                <c:pt idx="10">
                  <c:v>497230</c:v>
                </c:pt>
                <c:pt idx="11">
                  <c:v>513361</c:v>
                </c:pt>
                <c:pt idx="12">
                  <c:v>439068</c:v>
                </c:pt>
                <c:pt idx="13">
                  <c:v>483668</c:v>
                </c:pt>
                <c:pt idx="14">
                  <c:v>525405</c:v>
                </c:pt>
                <c:pt idx="15">
                  <c:v>537807</c:v>
                </c:pt>
                <c:pt idx="16">
                  <c:v>647336</c:v>
                </c:pt>
                <c:pt idx="17">
                  <c:v>630205</c:v>
                </c:pt>
                <c:pt idx="18">
                  <c:v>607245</c:v>
                </c:pt>
                <c:pt idx="19">
                  <c:v>687208</c:v>
                </c:pt>
                <c:pt idx="20">
                  <c:v>673749</c:v>
                </c:pt>
                <c:pt idx="21">
                  <c:v>734711</c:v>
                </c:pt>
                <c:pt idx="22">
                  <c:v>722043</c:v>
                </c:pt>
                <c:pt idx="23">
                  <c:v>705418</c:v>
                </c:pt>
                <c:pt idx="24">
                  <c:v>703043</c:v>
                </c:pt>
                <c:pt idx="25">
                  <c:v>663457</c:v>
                </c:pt>
                <c:pt idx="26">
                  <c:v>692750</c:v>
                </c:pt>
                <c:pt idx="27">
                  <c:v>729961</c:v>
                </c:pt>
                <c:pt idx="28">
                  <c:v>759254</c:v>
                </c:pt>
                <c:pt idx="29">
                  <c:v>800424</c:v>
                </c:pt>
              </c:numCache>
            </c:numRef>
          </c:val>
          <c:smooth val="0"/>
          <c:extLst xmlns:c16r2="http://schemas.microsoft.com/office/drawing/2015/06/chart">
            <c:ext xmlns:c16="http://schemas.microsoft.com/office/drawing/2014/chart" uri="{C3380CC4-5D6E-409C-BE32-E72D297353CC}">
              <c16:uniqueId val="{00000000-A4F1-491E-8C75-47197A7FD346}"/>
            </c:ext>
          </c:extLst>
        </c:ser>
        <c:dLbls>
          <c:dLblPos val="ctr"/>
          <c:showLegendKey val="0"/>
          <c:showVal val="1"/>
          <c:showCatName val="0"/>
          <c:showSerName val="0"/>
          <c:showPercent val="0"/>
          <c:showBubbleSize val="0"/>
        </c:dLbls>
        <c:smooth val="0"/>
        <c:axId val="817815552"/>
        <c:axId val="817820448"/>
      </c:lineChart>
      <c:dateAx>
        <c:axId val="817815552"/>
        <c:scaling>
          <c:orientation val="minMax"/>
        </c:scaling>
        <c:delete val="0"/>
        <c:axPos val="b"/>
        <c:numFmt formatCode="mmm\-yy"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17820448"/>
        <c:crosses val="autoZero"/>
        <c:auto val="1"/>
        <c:lblOffset val="100"/>
        <c:baseTimeUnit val="months"/>
        <c:majorUnit val="3"/>
        <c:majorTimeUnit val="months"/>
        <c:minorUnit val="3"/>
        <c:minorTimeUnit val="months"/>
      </c:dateAx>
      <c:valAx>
        <c:axId val="817820448"/>
        <c:scaling>
          <c:orientation val="minMax"/>
          <c:max val="900000"/>
          <c:min val="0"/>
        </c:scaling>
        <c:delete val="0"/>
        <c:axPos val="l"/>
        <c:majorGridlines>
          <c:spPr>
            <a:ln w="9525" cap="flat" cmpd="sng" algn="ctr">
              <a:solidFill>
                <a:schemeClr val="bg1">
                  <a:lumMod val="65000"/>
                </a:schemeClr>
              </a:solidFill>
              <a:prstDash val="sysDash"/>
              <a:round/>
            </a:ln>
            <a:effectLst/>
          </c:spPr>
        </c:majorGridlines>
        <c:numFmt formatCode="#,##0" sourceLinked="0"/>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17815552"/>
        <c:crosses val="autoZero"/>
        <c:crossBetween val="midCat"/>
        <c:majorUnit val="2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r>
              <a:rPr lang="en-US" sz="1600" b="1">
                <a:solidFill>
                  <a:sysClr val="windowText" lastClr="000000"/>
                </a:solidFill>
              </a:rPr>
              <a:t>Chart 7: Log Scale, Prices</a:t>
            </a:r>
            <a:r>
              <a:rPr lang="en-US" sz="1600" b="1" baseline="0">
                <a:solidFill>
                  <a:sysClr val="windowText" lastClr="000000"/>
                </a:solidFill>
              </a:rPr>
              <a:t> of Wheat, Barley, and Maize </a:t>
            </a:r>
          </a:p>
          <a:p>
            <a:pPr>
              <a:defRPr sz="2000" b="1">
                <a:solidFill>
                  <a:sysClr val="windowText" lastClr="000000"/>
                </a:solidFill>
              </a:defRPr>
            </a:pPr>
            <a:r>
              <a:rPr lang="en-US" sz="1600" b="1" baseline="0">
                <a:solidFill>
                  <a:sysClr val="windowText" lastClr="000000"/>
                </a:solidFill>
              </a:rPr>
              <a:t>(milpengos per quintal)</a:t>
            </a:r>
            <a:endParaRPr lang="en-US" sz="1600"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360525630632306"/>
          <c:y val="0.2327960199004975"/>
          <c:w val="0.83589615417928842"/>
          <c:h val="0.64855219963176236"/>
        </c:manualLayout>
      </c:layout>
      <c:lineChart>
        <c:grouping val="stacked"/>
        <c:varyColors val="0"/>
        <c:ser>
          <c:idx val="0"/>
          <c:order val="0"/>
          <c:tx>
            <c:strRef>
              <c:f>'Tab 6'!$B$9</c:f>
              <c:strCache>
                <c:ptCount val="1"/>
                <c:pt idx="0">
                  <c:v>Wheat</c:v>
                </c:pt>
              </c:strCache>
            </c:strRef>
          </c:tx>
          <c:spPr>
            <a:ln w="28575" cap="rnd">
              <a:solidFill>
                <a:schemeClr val="accent1"/>
              </a:solidFill>
              <a:round/>
            </a:ln>
            <a:effectLst/>
          </c:spPr>
          <c:marker>
            <c:symbol val="none"/>
          </c:marker>
          <c:cat>
            <c:numRef>
              <c:f>'Tab 6'!$A$11:$A$22</c:f>
              <c:numCache>
                <c:formatCode>m/d/yyyy</c:formatCode>
                <c:ptCount val="12"/>
                <c:pt idx="0">
                  <c:v>16828</c:v>
                </c:pt>
                <c:pt idx="1">
                  <c:v>16854</c:v>
                </c:pt>
                <c:pt idx="2">
                  <c:v>16890</c:v>
                </c:pt>
                <c:pt idx="3">
                  <c:v>16912</c:v>
                </c:pt>
                <c:pt idx="4">
                  <c:v>16950</c:v>
                </c:pt>
                <c:pt idx="5">
                  <c:v>16956</c:v>
                </c:pt>
                <c:pt idx="6">
                  <c:v>16993</c:v>
                </c:pt>
                <c:pt idx="7">
                  <c:v>17031</c:v>
                </c:pt>
                <c:pt idx="8">
                  <c:v>17069</c:v>
                </c:pt>
                <c:pt idx="9">
                  <c:v>17076</c:v>
                </c:pt>
                <c:pt idx="10">
                  <c:v>17113</c:v>
                </c:pt>
                <c:pt idx="11">
                  <c:v>17150</c:v>
                </c:pt>
              </c:numCache>
            </c:numRef>
          </c:cat>
          <c:val>
            <c:numRef>
              <c:f>'Tab 6'!$B$11:$B$22</c:f>
              <c:numCache>
                <c:formatCode>General</c:formatCode>
                <c:ptCount val="12"/>
                <c:pt idx="0">
                  <c:v>0.14000000000000001</c:v>
                </c:pt>
                <c:pt idx="1">
                  <c:v>0.5</c:v>
                </c:pt>
                <c:pt idx="2">
                  <c:v>4</c:v>
                </c:pt>
                <c:pt idx="3">
                  <c:v>40</c:v>
                </c:pt>
                <c:pt idx="4">
                  <c:v>80</c:v>
                </c:pt>
                <c:pt idx="5">
                  <c:v>160</c:v>
                </c:pt>
                <c:pt idx="6">
                  <c:v>450</c:v>
                </c:pt>
                <c:pt idx="7">
                  <c:v>1700</c:v>
                </c:pt>
                <c:pt idx="8">
                  <c:v>6000</c:v>
                </c:pt>
                <c:pt idx="9">
                  <c:v>28000</c:v>
                </c:pt>
                <c:pt idx="10">
                  <c:v>160000</c:v>
                </c:pt>
                <c:pt idx="11">
                  <c:v>1000000</c:v>
                </c:pt>
              </c:numCache>
            </c:numRef>
          </c:val>
          <c:smooth val="0"/>
          <c:extLst xmlns:c16r2="http://schemas.microsoft.com/office/drawing/2015/06/chart">
            <c:ext xmlns:c16="http://schemas.microsoft.com/office/drawing/2014/chart" uri="{C3380CC4-5D6E-409C-BE32-E72D297353CC}">
              <c16:uniqueId val="{00000000-4B93-405A-B7AC-97393D7F566D}"/>
            </c:ext>
          </c:extLst>
        </c:ser>
        <c:ser>
          <c:idx val="1"/>
          <c:order val="1"/>
          <c:tx>
            <c:strRef>
              <c:f>'Tab 6'!$C$9</c:f>
              <c:strCache>
                <c:ptCount val="1"/>
                <c:pt idx="0">
                  <c:v>Barley</c:v>
                </c:pt>
              </c:strCache>
            </c:strRef>
          </c:tx>
          <c:spPr>
            <a:ln w="38100" cap="rnd">
              <a:solidFill>
                <a:schemeClr val="accent2"/>
              </a:solidFill>
              <a:prstDash val="sysDot"/>
              <a:round/>
            </a:ln>
            <a:effectLst/>
          </c:spPr>
          <c:marker>
            <c:symbol val="none"/>
          </c:marker>
          <c:cat>
            <c:numRef>
              <c:f>'Tab 6'!$A$11:$A$22</c:f>
              <c:numCache>
                <c:formatCode>m/d/yyyy</c:formatCode>
                <c:ptCount val="12"/>
                <c:pt idx="0">
                  <c:v>16828</c:v>
                </c:pt>
                <c:pt idx="1">
                  <c:v>16854</c:v>
                </c:pt>
                <c:pt idx="2">
                  <c:v>16890</c:v>
                </c:pt>
                <c:pt idx="3">
                  <c:v>16912</c:v>
                </c:pt>
                <c:pt idx="4">
                  <c:v>16950</c:v>
                </c:pt>
                <c:pt idx="5">
                  <c:v>16956</c:v>
                </c:pt>
                <c:pt idx="6">
                  <c:v>16993</c:v>
                </c:pt>
                <c:pt idx="7">
                  <c:v>17031</c:v>
                </c:pt>
                <c:pt idx="8">
                  <c:v>17069</c:v>
                </c:pt>
                <c:pt idx="9">
                  <c:v>17076</c:v>
                </c:pt>
                <c:pt idx="10">
                  <c:v>17113</c:v>
                </c:pt>
                <c:pt idx="11">
                  <c:v>17150</c:v>
                </c:pt>
              </c:numCache>
            </c:numRef>
          </c:cat>
          <c:val>
            <c:numRef>
              <c:f>'Tab 6'!$C$11:$C$22</c:f>
              <c:numCache>
                <c:formatCode>General</c:formatCode>
                <c:ptCount val="12"/>
                <c:pt idx="0">
                  <c:v>0.12</c:v>
                </c:pt>
                <c:pt idx="1">
                  <c:v>0.43</c:v>
                </c:pt>
                <c:pt idx="2">
                  <c:v>3.5</c:v>
                </c:pt>
                <c:pt idx="3">
                  <c:v>35</c:v>
                </c:pt>
                <c:pt idx="4">
                  <c:v>70</c:v>
                </c:pt>
                <c:pt idx="5">
                  <c:v>140</c:v>
                </c:pt>
                <c:pt idx="6">
                  <c:v>400</c:v>
                </c:pt>
                <c:pt idx="7">
                  <c:v>1500</c:v>
                </c:pt>
                <c:pt idx="8">
                  <c:v>5400</c:v>
                </c:pt>
                <c:pt idx="9">
                  <c:v>25000</c:v>
                </c:pt>
                <c:pt idx="10">
                  <c:v>140000</c:v>
                </c:pt>
                <c:pt idx="11">
                  <c:v>900000</c:v>
                </c:pt>
              </c:numCache>
            </c:numRef>
          </c:val>
          <c:smooth val="0"/>
          <c:extLst xmlns:c16r2="http://schemas.microsoft.com/office/drawing/2015/06/chart">
            <c:ext xmlns:c16="http://schemas.microsoft.com/office/drawing/2014/chart" uri="{C3380CC4-5D6E-409C-BE32-E72D297353CC}">
              <c16:uniqueId val="{00000001-4B93-405A-B7AC-97393D7F566D}"/>
            </c:ext>
          </c:extLst>
        </c:ser>
        <c:ser>
          <c:idx val="2"/>
          <c:order val="2"/>
          <c:tx>
            <c:strRef>
              <c:f>'Tab 6'!$D$9</c:f>
              <c:strCache>
                <c:ptCount val="1"/>
                <c:pt idx="0">
                  <c:v>Maize</c:v>
                </c:pt>
              </c:strCache>
            </c:strRef>
          </c:tx>
          <c:spPr>
            <a:ln w="28575" cap="rnd">
              <a:solidFill>
                <a:schemeClr val="accent3"/>
              </a:solidFill>
              <a:round/>
            </a:ln>
            <a:effectLst/>
          </c:spPr>
          <c:marker>
            <c:symbol val="none"/>
          </c:marker>
          <c:cat>
            <c:numRef>
              <c:f>'Tab 6'!$A$11:$A$22</c:f>
              <c:numCache>
                <c:formatCode>m/d/yyyy</c:formatCode>
                <c:ptCount val="12"/>
                <c:pt idx="0">
                  <c:v>16828</c:v>
                </c:pt>
                <c:pt idx="1">
                  <c:v>16854</c:v>
                </c:pt>
                <c:pt idx="2">
                  <c:v>16890</c:v>
                </c:pt>
                <c:pt idx="3">
                  <c:v>16912</c:v>
                </c:pt>
                <c:pt idx="4">
                  <c:v>16950</c:v>
                </c:pt>
                <c:pt idx="5">
                  <c:v>16956</c:v>
                </c:pt>
                <c:pt idx="6">
                  <c:v>16993</c:v>
                </c:pt>
                <c:pt idx="7">
                  <c:v>17031</c:v>
                </c:pt>
                <c:pt idx="8">
                  <c:v>17069</c:v>
                </c:pt>
                <c:pt idx="9">
                  <c:v>17076</c:v>
                </c:pt>
                <c:pt idx="10">
                  <c:v>17113</c:v>
                </c:pt>
                <c:pt idx="11">
                  <c:v>17150</c:v>
                </c:pt>
              </c:numCache>
            </c:numRef>
          </c:cat>
          <c:val>
            <c:numRef>
              <c:f>'Tab 6'!$D$11:$D$22</c:f>
              <c:numCache>
                <c:formatCode>General</c:formatCode>
                <c:ptCount val="12"/>
                <c:pt idx="0">
                  <c:v>0.12</c:v>
                </c:pt>
                <c:pt idx="1">
                  <c:v>0.43</c:v>
                </c:pt>
                <c:pt idx="2">
                  <c:v>3.5</c:v>
                </c:pt>
                <c:pt idx="3">
                  <c:v>35</c:v>
                </c:pt>
                <c:pt idx="4">
                  <c:v>70</c:v>
                </c:pt>
                <c:pt idx="5">
                  <c:v>140</c:v>
                </c:pt>
                <c:pt idx="6">
                  <c:v>400</c:v>
                </c:pt>
                <c:pt idx="7">
                  <c:v>1500</c:v>
                </c:pt>
                <c:pt idx="8">
                  <c:v>5400</c:v>
                </c:pt>
                <c:pt idx="9">
                  <c:v>25000</c:v>
                </c:pt>
                <c:pt idx="10">
                  <c:v>140000</c:v>
                </c:pt>
                <c:pt idx="11">
                  <c:v>900000</c:v>
                </c:pt>
              </c:numCache>
            </c:numRef>
          </c:val>
          <c:smooth val="0"/>
          <c:extLst xmlns:c16r2="http://schemas.microsoft.com/office/drawing/2015/06/chart">
            <c:ext xmlns:c16="http://schemas.microsoft.com/office/drawing/2014/chart" uri="{C3380CC4-5D6E-409C-BE32-E72D297353CC}">
              <c16:uniqueId val="{00000002-4B93-405A-B7AC-97393D7F566D}"/>
            </c:ext>
          </c:extLst>
        </c:ser>
        <c:dLbls>
          <c:showLegendKey val="0"/>
          <c:showVal val="0"/>
          <c:showCatName val="0"/>
          <c:showSerName val="0"/>
          <c:showPercent val="0"/>
          <c:showBubbleSize val="0"/>
        </c:dLbls>
        <c:smooth val="0"/>
        <c:axId val="817810656"/>
        <c:axId val="817817184"/>
      </c:lineChart>
      <c:catAx>
        <c:axId val="817810656"/>
        <c:scaling>
          <c:orientation val="minMax"/>
        </c:scaling>
        <c:delete val="0"/>
        <c:axPos val="b"/>
        <c:numFmt formatCode="m/d/yyyy" sourceLinked="1"/>
        <c:majorTickMark val="out"/>
        <c:minorTickMark val="none"/>
        <c:tickLblPos val="low"/>
        <c:spPr>
          <a:noFill/>
          <a:ln w="9525" cap="flat" cmpd="sng" algn="ctr">
            <a:solidFill>
              <a:schemeClr val="bg1">
                <a:lumMod val="65000"/>
              </a:schemeClr>
            </a:solidFill>
            <a:round/>
          </a:ln>
          <a:effectLst/>
        </c:spPr>
        <c:txPr>
          <a:bodyPr rot="0" spcFirstLastPara="1" vertOverflow="ellipsis" wrap="square" anchor="ctr" anchorCtr="1"/>
          <a:lstStyle/>
          <a:p>
            <a:pPr>
              <a:defRPr sz="1200" b="0" i="0" u="none" strike="noStrike" kern="1200" baseline="0">
                <a:solidFill>
                  <a:schemeClr val="tx1"/>
                </a:solidFill>
                <a:latin typeface="+mn-lt"/>
                <a:ea typeface="+mn-ea"/>
                <a:cs typeface="+mn-cs"/>
              </a:defRPr>
            </a:pPr>
            <a:endParaRPr lang="en-US"/>
          </a:p>
        </c:txPr>
        <c:crossAx val="817817184"/>
        <c:crossesAt val="1.0000000000000006E-12"/>
        <c:auto val="0"/>
        <c:lblAlgn val="ctr"/>
        <c:lblOffset val="100"/>
        <c:tickLblSkip val="2"/>
        <c:tickMarkSkip val="2"/>
        <c:noMultiLvlLbl val="0"/>
      </c:catAx>
      <c:valAx>
        <c:axId val="817817184"/>
        <c:scaling>
          <c:logBase val="10"/>
          <c:orientation val="minMax"/>
        </c:scaling>
        <c:delete val="0"/>
        <c:axPos val="l"/>
        <c:majorGridlines>
          <c:spPr>
            <a:ln w="9525" cap="flat" cmpd="sng" algn="ctr">
              <a:solidFill>
                <a:schemeClr val="bg1">
                  <a:lumMod val="65000"/>
                </a:schemeClr>
              </a:solidFill>
              <a:prstDash val="sysDash"/>
              <a:round/>
            </a:ln>
            <a:effectLst/>
          </c:spPr>
        </c:majorGridlines>
        <c:numFmt formatCode="#,##0" sourceLinked="0"/>
        <c:majorTickMark val="none"/>
        <c:minorTickMark val="none"/>
        <c:tickLblPos val="nextTo"/>
        <c:spPr>
          <a:noFill/>
          <a:ln>
            <a:solidFill>
              <a:schemeClr val="bg1">
                <a:lumMod val="75000"/>
              </a:schemeClr>
            </a:solidFill>
            <a:prstDash val="soli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817810656"/>
        <c:crosses val="autoZero"/>
        <c:crossBetween val="midCat"/>
      </c:valAx>
      <c:spPr>
        <a:noFill/>
        <a:ln>
          <a:noFill/>
        </a:ln>
        <a:effectLst/>
      </c:spPr>
    </c:plotArea>
    <c:legend>
      <c:legendPos val="b"/>
      <c:layout>
        <c:manualLayout>
          <c:xMode val="edge"/>
          <c:yMode val="edge"/>
          <c:x val="0.17124702983421106"/>
          <c:y val="0.29815589818127142"/>
          <c:w val="0.25178133193908175"/>
          <c:h val="0.2440523252535757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r>
              <a:rPr lang="en-US" sz="1600" b="1">
                <a:solidFill>
                  <a:sysClr val="windowText" lastClr="000000"/>
                </a:solidFill>
              </a:rPr>
              <a:t>Acreage of Principal Crops (thousand</a:t>
            </a:r>
            <a:r>
              <a:rPr lang="en-US" sz="1600" b="1" baseline="0">
                <a:solidFill>
                  <a:sysClr val="windowText" lastClr="000000"/>
                </a:solidFill>
              </a:rPr>
              <a:t> hectares)</a:t>
            </a:r>
            <a:endParaRPr lang="en-US" sz="1600"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2923710982408185E-2"/>
          <c:y val="0.17392083219893051"/>
          <c:w val="0.91164929177241272"/>
          <c:h val="0.38394357781037186"/>
        </c:manualLayout>
      </c:layout>
      <c:barChart>
        <c:barDir val="col"/>
        <c:grouping val="clustered"/>
        <c:varyColors val="0"/>
        <c:ser>
          <c:idx val="0"/>
          <c:order val="0"/>
          <c:tx>
            <c:strRef>
              <c:f>'Tab 6'!$B$30</c:f>
              <c:strCache>
                <c:ptCount val="1"/>
                <c:pt idx="0">
                  <c:v>1938</c:v>
                </c:pt>
              </c:strCache>
            </c:strRef>
          </c:tx>
          <c:spPr>
            <a:solidFill>
              <a:schemeClr val="accent1"/>
            </a:solidFill>
            <a:ln>
              <a:noFill/>
            </a:ln>
            <a:effectLst/>
          </c:spPr>
          <c:invertIfNegative val="0"/>
          <c:cat>
            <c:strRef>
              <c:f>'Tab 6'!$A$31:$A$41</c:f>
              <c:strCache>
                <c:ptCount val="11"/>
                <c:pt idx="0">
                  <c:v>Wheat</c:v>
                </c:pt>
                <c:pt idx="1">
                  <c:v>Rye</c:v>
                </c:pt>
                <c:pt idx="2">
                  <c:v>Barley</c:v>
                </c:pt>
                <c:pt idx="3">
                  <c:v>Oats</c:v>
                </c:pt>
                <c:pt idx="4">
                  <c:v>Corn</c:v>
                </c:pt>
                <c:pt idx="5">
                  <c:v>Potatoes</c:v>
                </c:pt>
                <c:pt idx="6">
                  <c:v>Sugar beets</c:v>
                </c:pt>
                <c:pt idx="7">
                  <c:v>Beets for fodder</c:v>
                </c:pt>
                <c:pt idx="8">
                  <c:v>Sunflower</c:v>
                </c:pt>
                <c:pt idx="9">
                  <c:v>Sunflower (secndry)</c:v>
                </c:pt>
                <c:pt idx="10">
                  <c:v>Tobacco</c:v>
                </c:pt>
              </c:strCache>
            </c:strRef>
          </c:cat>
          <c:val>
            <c:numRef>
              <c:f>'Tab 6'!$B$31:$B$41</c:f>
              <c:numCache>
                <c:formatCode>General</c:formatCode>
                <c:ptCount val="11"/>
                <c:pt idx="0">
                  <c:v>2791.4</c:v>
                </c:pt>
                <c:pt idx="1">
                  <c:v>1093.2</c:v>
                </c:pt>
                <c:pt idx="2">
                  <c:v>792.7</c:v>
                </c:pt>
                <c:pt idx="3">
                  <c:v>392</c:v>
                </c:pt>
                <c:pt idx="4">
                  <c:v>2042.8</c:v>
                </c:pt>
                <c:pt idx="5">
                  <c:v>56</c:v>
                </c:pt>
                <c:pt idx="6">
                  <c:v>77</c:v>
                </c:pt>
                <c:pt idx="7">
                  <c:v>242.2</c:v>
                </c:pt>
                <c:pt idx="8">
                  <c:v>11.4</c:v>
                </c:pt>
                <c:pt idx="9">
                  <c:v>261.7</c:v>
                </c:pt>
                <c:pt idx="10">
                  <c:v>23.4</c:v>
                </c:pt>
              </c:numCache>
            </c:numRef>
          </c:val>
          <c:extLst xmlns:c16r2="http://schemas.microsoft.com/office/drawing/2015/06/chart">
            <c:ext xmlns:c16="http://schemas.microsoft.com/office/drawing/2014/chart" uri="{C3380CC4-5D6E-409C-BE32-E72D297353CC}">
              <c16:uniqueId val="{00000000-0CD6-40C6-9231-D802105E5FE0}"/>
            </c:ext>
          </c:extLst>
        </c:ser>
        <c:ser>
          <c:idx val="1"/>
          <c:order val="1"/>
          <c:tx>
            <c:strRef>
              <c:f>'Tab 6'!$C$30</c:f>
              <c:strCache>
                <c:ptCount val="1"/>
                <c:pt idx="0">
                  <c:v>1945</c:v>
                </c:pt>
              </c:strCache>
            </c:strRef>
          </c:tx>
          <c:spPr>
            <a:solidFill>
              <a:schemeClr val="accent2"/>
            </a:solidFill>
            <a:ln>
              <a:noFill/>
            </a:ln>
            <a:effectLst/>
          </c:spPr>
          <c:invertIfNegative val="0"/>
          <c:cat>
            <c:strRef>
              <c:f>'Tab 6'!$A$31:$A$41</c:f>
              <c:strCache>
                <c:ptCount val="11"/>
                <c:pt idx="0">
                  <c:v>Wheat</c:v>
                </c:pt>
                <c:pt idx="1">
                  <c:v>Rye</c:v>
                </c:pt>
                <c:pt idx="2">
                  <c:v>Barley</c:v>
                </c:pt>
                <c:pt idx="3">
                  <c:v>Oats</c:v>
                </c:pt>
                <c:pt idx="4">
                  <c:v>Corn</c:v>
                </c:pt>
                <c:pt idx="5">
                  <c:v>Potatoes</c:v>
                </c:pt>
                <c:pt idx="6">
                  <c:v>Sugar beets</c:v>
                </c:pt>
                <c:pt idx="7">
                  <c:v>Beets for fodder</c:v>
                </c:pt>
                <c:pt idx="8">
                  <c:v>Sunflower</c:v>
                </c:pt>
                <c:pt idx="9">
                  <c:v>Sunflower (secndry)</c:v>
                </c:pt>
                <c:pt idx="10">
                  <c:v>Tobacco</c:v>
                </c:pt>
              </c:strCache>
            </c:strRef>
          </c:cat>
          <c:val>
            <c:numRef>
              <c:f>'Tab 6'!$C$31:$C$41</c:f>
              <c:numCache>
                <c:formatCode>General</c:formatCode>
                <c:ptCount val="11"/>
                <c:pt idx="0">
                  <c:v>1196.0999999999999</c:v>
                </c:pt>
                <c:pt idx="1">
                  <c:v>586.29999999999995</c:v>
                </c:pt>
                <c:pt idx="2">
                  <c:v>886.3</c:v>
                </c:pt>
                <c:pt idx="3">
                  <c:v>356.2</c:v>
                </c:pt>
                <c:pt idx="4">
                  <c:v>2283.1999999999998</c:v>
                </c:pt>
                <c:pt idx="5">
                  <c:v>597.1</c:v>
                </c:pt>
                <c:pt idx="6">
                  <c:v>33.9</c:v>
                </c:pt>
                <c:pt idx="7">
                  <c:v>221.6</c:v>
                </c:pt>
                <c:pt idx="8">
                  <c:v>237.8</c:v>
                </c:pt>
                <c:pt idx="9">
                  <c:v>531</c:v>
                </c:pt>
                <c:pt idx="10">
                  <c:v>17.3</c:v>
                </c:pt>
              </c:numCache>
            </c:numRef>
          </c:val>
          <c:extLst xmlns:c16r2="http://schemas.microsoft.com/office/drawing/2015/06/chart">
            <c:ext xmlns:c16="http://schemas.microsoft.com/office/drawing/2014/chart" uri="{C3380CC4-5D6E-409C-BE32-E72D297353CC}">
              <c16:uniqueId val="{00000001-0CD6-40C6-9231-D802105E5FE0}"/>
            </c:ext>
          </c:extLst>
        </c:ser>
        <c:dLbls>
          <c:showLegendKey val="0"/>
          <c:showVal val="0"/>
          <c:showCatName val="0"/>
          <c:showSerName val="0"/>
          <c:showPercent val="0"/>
          <c:showBubbleSize val="0"/>
        </c:dLbls>
        <c:gapWidth val="219"/>
        <c:overlap val="-27"/>
        <c:axId val="817808480"/>
        <c:axId val="817817728"/>
      </c:barChart>
      <c:catAx>
        <c:axId val="817808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17817728"/>
        <c:crosses val="autoZero"/>
        <c:auto val="1"/>
        <c:lblAlgn val="ctr"/>
        <c:lblOffset val="100"/>
        <c:noMultiLvlLbl val="0"/>
      </c:catAx>
      <c:valAx>
        <c:axId val="817817728"/>
        <c:scaling>
          <c:orientation val="minMax"/>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17808480"/>
        <c:crosses val="autoZero"/>
        <c:crossBetween val="between"/>
      </c:valAx>
      <c:spPr>
        <a:noFill/>
        <a:ln>
          <a:noFill/>
        </a:ln>
        <a:effectLst/>
      </c:spPr>
    </c:plotArea>
    <c:legend>
      <c:legendPos val="b"/>
      <c:layout>
        <c:manualLayout>
          <c:xMode val="edge"/>
          <c:yMode val="edge"/>
          <c:x val="0.60574009240580462"/>
          <c:y val="0.23510674280809174"/>
          <c:w val="0.26455269950760285"/>
          <c:h val="9.920564567227512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ysClr val="windowText" lastClr="000000"/>
                </a:solidFill>
                <a:latin typeface="+mn-lt"/>
                <a:ea typeface="+mn-ea"/>
                <a:cs typeface="+mn-cs"/>
              </a:defRPr>
            </a:pPr>
            <a:r>
              <a:rPr lang="en-US" sz="1600" b="1">
                <a:solidFill>
                  <a:sysClr val="windowText" lastClr="000000"/>
                </a:solidFill>
              </a:rPr>
              <a:t>Chart 8: Log Scale Index</a:t>
            </a:r>
            <a:r>
              <a:rPr lang="en-US" sz="1600" b="1" baseline="0">
                <a:solidFill>
                  <a:sysClr val="windowText" lastClr="000000"/>
                </a:solidFill>
              </a:rPr>
              <a:t> for Industrial Prices and Agrarian Prices (October 1, 1945 = 100)</a:t>
            </a:r>
            <a:endParaRPr lang="en-US" sz="1600" b="1">
              <a:solidFill>
                <a:sysClr val="windowText" lastClr="000000"/>
              </a:solidFill>
            </a:endParaRPr>
          </a:p>
        </c:rich>
      </c:tx>
      <c:layout>
        <c:manualLayout>
          <c:xMode val="edge"/>
          <c:yMode val="edge"/>
          <c:x val="0.12558125786491675"/>
          <c:y val="1.4294220070210507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3252665653771503"/>
          <c:y val="0.1408980639043679"/>
          <c:w val="0.8285702893017195"/>
          <c:h val="0.69302381547737191"/>
        </c:manualLayout>
      </c:layout>
      <c:lineChart>
        <c:grouping val="standard"/>
        <c:varyColors val="0"/>
        <c:ser>
          <c:idx val="0"/>
          <c:order val="0"/>
          <c:tx>
            <c:strRef>
              <c:f>'Tab 7'!$H$36</c:f>
              <c:strCache>
                <c:ptCount val="1"/>
                <c:pt idx="0">
                  <c:v>Index of industrial prices</c:v>
                </c:pt>
              </c:strCache>
            </c:strRef>
          </c:tx>
          <c:spPr>
            <a:ln w="50800" cap="rnd">
              <a:solidFill>
                <a:schemeClr val="accent1"/>
              </a:solidFill>
              <a:round/>
            </a:ln>
            <a:effectLst/>
          </c:spPr>
          <c:marker>
            <c:symbol val="none"/>
          </c:marker>
          <c:cat>
            <c:numRef>
              <c:f>('Tab 7'!$G$37:$G$65,'Tab 7'!$G$65)</c:f>
              <c:numCache>
                <c:formatCode>m/d/yyyy</c:formatCode>
                <c:ptCount val="30"/>
                <c:pt idx="0">
                  <c:v>16802</c:v>
                </c:pt>
                <c:pt idx="1">
                  <c:v>16809</c:v>
                </c:pt>
                <c:pt idx="2">
                  <c:v>16817</c:v>
                </c:pt>
                <c:pt idx="3">
                  <c:v>16825</c:v>
                </c:pt>
                <c:pt idx="4">
                  <c:v>16833</c:v>
                </c:pt>
                <c:pt idx="5">
                  <c:v>16840</c:v>
                </c:pt>
                <c:pt idx="6">
                  <c:v>16848</c:v>
                </c:pt>
                <c:pt idx="7">
                  <c:v>16856</c:v>
                </c:pt>
                <c:pt idx="8">
                  <c:v>16861</c:v>
                </c:pt>
                <c:pt idx="9">
                  <c:v>16868</c:v>
                </c:pt>
                <c:pt idx="10">
                  <c:v>16876</c:v>
                </c:pt>
                <c:pt idx="11">
                  <c:v>16884</c:v>
                </c:pt>
                <c:pt idx="12">
                  <c:v>16892</c:v>
                </c:pt>
                <c:pt idx="13">
                  <c:v>16899</c:v>
                </c:pt>
                <c:pt idx="14">
                  <c:v>16907</c:v>
                </c:pt>
                <c:pt idx="15">
                  <c:v>16915</c:v>
                </c:pt>
                <c:pt idx="16">
                  <c:v>16922</c:v>
                </c:pt>
                <c:pt idx="17">
                  <c:v>16929</c:v>
                </c:pt>
                <c:pt idx="18">
                  <c:v>16937</c:v>
                </c:pt>
                <c:pt idx="19">
                  <c:v>16945</c:v>
                </c:pt>
                <c:pt idx="20">
                  <c:v>16953</c:v>
                </c:pt>
                <c:pt idx="21">
                  <c:v>16960</c:v>
                </c:pt>
                <c:pt idx="22">
                  <c:v>16968</c:v>
                </c:pt>
                <c:pt idx="23">
                  <c:v>16976</c:v>
                </c:pt>
                <c:pt idx="24">
                  <c:v>16983</c:v>
                </c:pt>
                <c:pt idx="25">
                  <c:v>16990</c:v>
                </c:pt>
                <c:pt idx="26">
                  <c:v>16998</c:v>
                </c:pt>
                <c:pt idx="27">
                  <c:v>17006</c:v>
                </c:pt>
              </c:numCache>
            </c:numRef>
          </c:cat>
          <c:val>
            <c:numRef>
              <c:f>('Tab 7'!$H$37:$H$65,'Tab 7'!$H$65)</c:f>
              <c:numCache>
                <c:formatCode>General</c:formatCode>
                <c:ptCount val="30"/>
                <c:pt idx="0">
                  <c:v>1256.3</c:v>
                </c:pt>
                <c:pt idx="1">
                  <c:v>1300</c:v>
                </c:pt>
                <c:pt idx="2">
                  <c:v>1465</c:v>
                </c:pt>
                <c:pt idx="3">
                  <c:v>2189</c:v>
                </c:pt>
                <c:pt idx="4">
                  <c:v>2430</c:v>
                </c:pt>
                <c:pt idx="5">
                  <c:v>3981</c:v>
                </c:pt>
                <c:pt idx="6">
                  <c:v>5934</c:v>
                </c:pt>
                <c:pt idx="7">
                  <c:v>10094</c:v>
                </c:pt>
                <c:pt idx="8">
                  <c:v>14519</c:v>
                </c:pt>
                <c:pt idx="9">
                  <c:v>18342</c:v>
                </c:pt>
                <c:pt idx="10">
                  <c:v>33752</c:v>
                </c:pt>
                <c:pt idx="11">
                  <c:v>51257</c:v>
                </c:pt>
                <c:pt idx="12">
                  <c:v>74158</c:v>
                </c:pt>
                <c:pt idx="13">
                  <c:v>101967</c:v>
                </c:pt>
                <c:pt idx="14">
                  <c:v>262447</c:v>
                </c:pt>
                <c:pt idx="15">
                  <c:v>615487</c:v>
                </c:pt>
                <c:pt idx="16">
                  <c:v>1370000</c:v>
                </c:pt>
                <c:pt idx="17">
                  <c:v>3300000</c:v>
                </c:pt>
                <c:pt idx="18">
                  <c:v>10600000</c:v>
                </c:pt>
                <c:pt idx="19">
                  <c:v>44300000</c:v>
                </c:pt>
                <c:pt idx="20">
                  <c:v>294000000</c:v>
                </c:pt>
                <c:pt idx="21">
                  <c:v>1947000000</c:v>
                </c:pt>
                <c:pt idx="22">
                  <c:v>18559000000</c:v>
                </c:pt>
                <c:pt idx="23" formatCode="0.00">
                  <c:v>339914000000</c:v>
                </c:pt>
                <c:pt idx="24">
                  <c:v>61624000000000</c:v>
                </c:pt>
                <c:pt idx="25">
                  <c:v>2.8257E+16</c:v>
                </c:pt>
                <c:pt idx="26">
                  <c:v>8.39E+20</c:v>
                </c:pt>
                <c:pt idx="27">
                  <c:v>3.5699999999999999E+26</c:v>
                </c:pt>
              </c:numCache>
            </c:numRef>
          </c:val>
          <c:smooth val="0"/>
          <c:extLst xmlns:c16r2="http://schemas.microsoft.com/office/drawing/2015/06/chart">
            <c:ext xmlns:c16="http://schemas.microsoft.com/office/drawing/2014/chart" uri="{C3380CC4-5D6E-409C-BE32-E72D297353CC}">
              <c16:uniqueId val="{00000000-6483-473C-9D06-D7DBBAF5CF6F}"/>
            </c:ext>
          </c:extLst>
        </c:ser>
        <c:ser>
          <c:idx val="1"/>
          <c:order val="1"/>
          <c:tx>
            <c:strRef>
              <c:f>'Tab 7'!$I$36</c:f>
              <c:strCache>
                <c:ptCount val="1"/>
                <c:pt idx="0">
                  <c:v>Index of agrarian prices</c:v>
                </c:pt>
              </c:strCache>
            </c:strRef>
          </c:tx>
          <c:spPr>
            <a:ln w="28575" cap="rnd">
              <a:solidFill>
                <a:schemeClr val="accent2"/>
              </a:solidFill>
              <a:round/>
            </a:ln>
            <a:effectLst/>
          </c:spPr>
          <c:marker>
            <c:symbol val="none"/>
          </c:marker>
          <c:cat>
            <c:numRef>
              <c:f>('Tab 7'!$G$37:$G$65,'Tab 7'!$G$65)</c:f>
              <c:numCache>
                <c:formatCode>m/d/yyyy</c:formatCode>
                <c:ptCount val="30"/>
                <c:pt idx="0">
                  <c:v>16802</c:v>
                </c:pt>
                <c:pt idx="1">
                  <c:v>16809</c:v>
                </c:pt>
                <c:pt idx="2">
                  <c:v>16817</c:v>
                </c:pt>
                <c:pt idx="3">
                  <c:v>16825</c:v>
                </c:pt>
                <c:pt idx="4">
                  <c:v>16833</c:v>
                </c:pt>
                <c:pt idx="5">
                  <c:v>16840</c:v>
                </c:pt>
                <c:pt idx="6">
                  <c:v>16848</c:v>
                </c:pt>
                <c:pt idx="7">
                  <c:v>16856</c:v>
                </c:pt>
                <c:pt idx="8">
                  <c:v>16861</c:v>
                </c:pt>
                <c:pt idx="9">
                  <c:v>16868</c:v>
                </c:pt>
                <c:pt idx="10">
                  <c:v>16876</c:v>
                </c:pt>
                <c:pt idx="11">
                  <c:v>16884</c:v>
                </c:pt>
                <c:pt idx="12">
                  <c:v>16892</c:v>
                </c:pt>
                <c:pt idx="13">
                  <c:v>16899</c:v>
                </c:pt>
                <c:pt idx="14">
                  <c:v>16907</c:v>
                </c:pt>
                <c:pt idx="15">
                  <c:v>16915</c:v>
                </c:pt>
                <c:pt idx="16">
                  <c:v>16922</c:v>
                </c:pt>
                <c:pt idx="17">
                  <c:v>16929</c:v>
                </c:pt>
                <c:pt idx="18">
                  <c:v>16937</c:v>
                </c:pt>
                <c:pt idx="19">
                  <c:v>16945</c:v>
                </c:pt>
                <c:pt idx="20">
                  <c:v>16953</c:v>
                </c:pt>
                <c:pt idx="21">
                  <c:v>16960</c:v>
                </c:pt>
                <c:pt idx="22">
                  <c:v>16968</c:v>
                </c:pt>
                <c:pt idx="23">
                  <c:v>16976</c:v>
                </c:pt>
                <c:pt idx="24">
                  <c:v>16983</c:v>
                </c:pt>
                <c:pt idx="25">
                  <c:v>16990</c:v>
                </c:pt>
                <c:pt idx="26">
                  <c:v>16998</c:v>
                </c:pt>
                <c:pt idx="27">
                  <c:v>17006</c:v>
                </c:pt>
              </c:numCache>
            </c:numRef>
          </c:cat>
          <c:val>
            <c:numRef>
              <c:f>('Tab 7'!$I$37:$I$65,'Tab 7'!$I$65)</c:f>
              <c:numCache>
                <c:formatCode>General</c:formatCode>
                <c:ptCount val="30"/>
                <c:pt idx="0">
                  <c:v>12599.1</c:v>
                </c:pt>
                <c:pt idx="1">
                  <c:v>14816</c:v>
                </c:pt>
                <c:pt idx="2">
                  <c:v>14651</c:v>
                </c:pt>
                <c:pt idx="3">
                  <c:v>15453</c:v>
                </c:pt>
                <c:pt idx="4">
                  <c:v>16399</c:v>
                </c:pt>
                <c:pt idx="5">
                  <c:v>24097</c:v>
                </c:pt>
                <c:pt idx="6">
                  <c:v>29470</c:v>
                </c:pt>
                <c:pt idx="7">
                  <c:v>70435</c:v>
                </c:pt>
                <c:pt idx="8">
                  <c:v>97226</c:v>
                </c:pt>
                <c:pt idx="9">
                  <c:v>144401</c:v>
                </c:pt>
                <c:pt idx="10">
                  <c:v>167534</c:v>
                </c:pt>
                <c:pt idx="11">
                  <c:v>247299</c:v>
                </c:pt>
                <c:pt idx="12">
                  <c:v>355482</c:v>
                </c:pt>
                <c:pt idx="13">
                  <c:v>701909</c:v>
                </c:pt>
                <c:pt idx="14">
                  <c:v>1485900</c:v>
                </c:pt>
                <c:pt idx="15">
                  <c:v>3580000</c:v>
                </c:pt>
                <c:pt idx="16">
                  <c:v>8340000</c:v>
                </c:pt>
                <c:pt idx="17">
                  <c:v>22200000</c:v>
                </c:pt>
                <c:pt idx="18">
                  <c:v>75300000</c:v>
                </c:pt>
                <c:pt idx="19">
                  <c:v>488200000</c:v>
                </c:pt>
                <c:pt idx="20">
                  <c:v>3167000000</c:v>
                </c:pt>
                <c:pt idx="21">
                  <c:v>21704000000</c:v>
                </c:pt>
                <c:pt idx="22">
                  <c:v>238958000000</c:v>
                </c:pt>
                <c:pt idx="23">
                  <c:v>5704948000000</c:v>
                </c:pt>
                <c:pt idx="24">
                  <c:v>953400000000000</c:v>
                </c:pt>
                <c:pt idx="25">
                  <c:v>1.021234E+18</c:v>
                </c:pt>
                <c:pt idx="26">
                  <c:v>4.124E+21</c:v>
                </c:pt>
                <c:pt idx="27">
                  <c:v>3.2980000000000002E+27</c:v>
                </c:pt>
              </c:numCache>
            </c:numRef>
          </c:val>
          <c:smooth val="0"/>
          <c:extLst xmlns:c16r2="http://schemas.microsoft.com/office/drawing/2015/06/chart">
            <c:ext xmlns:c16="http://schemas.microsoft.com/office/drawing/2014/chart" uri="{C3380CC4-5D6E-409C-BE32-E72D297353CC}">
              <c16:uniqueId val="{00000001-6483-473C-9D06-D7DBBAF5CF6F}"/>
            </c:ext>
          </c:extLst>
        </c:ser>
        <c:dLbls>
          <c:showLegendKey val="0"/>
          <c:showVal val="0"/>
          <c:showCatName val="0"/>
          <c:showSerName val="0"/>
          <c:showPercent val="0"/>
          <c:showBubbleSize val="0"/>
        </c:dLbls>
        <c:smooth val="0"/>
        <c:axId val="817813376"/>
        <c:axId val="817809568"/>
      </c:lineChart>
      <c:dateAx>
        <c:axId val="817813376"/>
        <c:scaling>
          <c:orientation val="minMax"/>
        </c:scaling>
        <c:delete val="0"/>
        <c:axPos val="b"/>
        <c:numFmt formatCode="m/d/yyyy" sourceLinked="1"/>
        <c:majorTickMark val="out"/>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817809568"/>
        <c:crosses val="autoZero"/>
        <c:auto val="1"/>
        <c:lblOffset val="100"/>
        <c:baseTimeUnit val="days"/>
        <c:majorUnit val="1"/>
        <c:majorTimeUnit val="months"/>
      </c:dateAx>
      <c:valAx>
        <c:axId val="817809568"/>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817813376"/>
        <c:crosses val="autoZero"/>
        <c:crossBetween val="midCat"/>
      </c:valAx>
      <c:spPr>
        <a:noFill/>
        <a:ln>
          <a:noFill/>
        </a:ln>
        <a:effectLst/>
      </c:spPr>
    </c:plotArea>
    <c:legend>
      <c:legendPos val="t"/>
      <c:layout>
        <c:manualLayout>
          <c:xMode val="edge"/>
          <c:yMode val="edge"/>
          <c:x val="0.29543716152217825"/>
          <c:y val="0.27512593926012896"/>
          <c:w val="0.44131241971708762"/>
          <c:h val="0.14089426618831435"/>
        </c:manualLayout>
      </c:layout>
      <c:overlay val="1"/>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1945-6 vs. 1938</a:t>
            </a:r>
            <a:r>
              <a:rPr lang="en-US" sz="1800" b="1" baseline="0">
                <a:solidFill>
                  <a:sysClr val="windowText" lastClr="000000"/>
                </a:solidFill>
              </a:rPr>
              <a:t> Output (%)</a:t>
            </a:r>
            <a:endParaRPr lang="en-US" sz="1800"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'Tab 7'!$G$4</c:f>
              <c:strCache>
                <c:ptCount val="1"/>
                <c:pt idx="0">
                  <c:v>1945-1946</c:v>
                </c:pt>
              </c:strCache>
            </c:strRef>
          </c:tx>
          <c:spPr>
            <a:solidFill>
              <a:schemeClr val="accent1"/>
            </a:solidFill>
            <a:ln>
              <a:noFill/>
            </a:ln>
            <a:effectLst/>
          </c:spPr>
          <c:invertIfNegative val="0"/>
          <c:cat>
            <c:strRef>
              <c:f>'Tab 7'!$F$5:$F$11</c:f>
              <c:strCache>
                <c:ptCount val="7"/>
                <c:pt idx="0">
                  <c:v>Agriculture</c:v>
                </c:pt>
                <c:pt idx="1">
                  <c:v>Mining</c:v>
                </c:pt>
                <c:pt idx="2">
                  <c:v>Industry</c:v>
                </c:pt>
                <c:pt idx="3">
                  <c:v>Small Crafts</c:v>
                </c:pt>
                <c:pt idx="4">
                  <c:v>Trade</c:v>
                </c:pt>
                <c:pt idx="5">
                  <c:v>Real Property</c:v>
                </c:pt>
                <c:pt idx="6">
                  <c:v>Other</c:v>
                </c:pt>
              </c:strCache>
            </c:strRef>
          </c:cat>
          <c:val>
            <c:numRef>
              <c:f>'Tab 7'!$G$5:$G$11</c:f>
              <c:numCache>
                <c:formatCode>General</c:formatCode>
                <c:ptCount val="7"/>
                <c:pt idx="0">
                  <c:v>43.3</c:v>
                </c:pt>
                <c:pt idx="1">
                  <c:v>49.1</c:v>
                </c:pt>
                <c:pt idx="2">
                  <c:v>40</c:v>
                </c:pt>
                <c:pt idx="3">
                  <c:v>60</c:v>
                </c:pt>
                <c:pt idx="4">
                  <c:v>40</c:v>
                </c:pt>
                <c:pt idx="5">
                  <c:v>90</c:v>
                </c:pt>
                <c:pt idx="6">
                  <c:v>48.9</c:v>
                </c:pt>
              </c:numCache>
            </c:numRef>
          </c:val>
          <c:extLst xmlns:c16r2="http://schemas.microsoft.com/office/drawing/2015/06/chart">
            <c:ext xmlns:c16="http://schemas.microsoft.com/office/drawing/2014/chart" uri="{C3380CC4-5D6E-409C-BE32-E72D297353CC}">
              <c16:uniqueId val="{00000000-8CFB-4CCF-8138-43FC7EC37CBF}"/>
            </c:ext>
          </c:extLst>
        </c:ser>
        <c:dLbls>
          <c:showLegendKey val="0"/>
          <c:showVal val="0"/>
          <c:showCatName val="0"/>
          <c:showSerName val="0"/>
          <c:showPercent val="0"/>
          <c:showBubbleSize val="0"/>
        </c:dLbls>
        <c:gapWidth val="150"/>
        <c:axId val="690474160"/>
        <c:axId val="869826560"/>
      </c:barChart>
      <c:catAx>
        <c:axId val="690474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crossAx val="869826560"/>
        <c:crosses val="autoZero"/>
        <c:auto val="1"/>
        <c:lblAlgn val="ctr"/>
        <c:lblOffset val="100"/>
        <c:noMultiLvlLbl val="0"/>
      </c:catAx>
      <c:valAx>
        <c:axId val="869826560"/>
        <c:scaling>
          <c:orientation val="minMax"/>
        </c:scaling>
        <c:delete val="0"/>
        <c:axPos val="l"/>
        <c:majorGridlines>
          <c:spPr>
            <a:ln w="9525" cap="flat" cmpd="sng" algn="ctr">
              <a:solidFill>
                <a:schemeClr val="tx1">
                  <a:lumMod val="15000"/>
                  <a:lumOff val="85000"/>
                </a:schemeClr>
              </a:solidFill>
              <a:prstDash val="sysDash"/>
              <a:round/>
            </a:ln>
            <a:effectLst/>
          </c:spPr>
        </c:majorGridlines>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6904741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800"/>
            </a:pPr>
            <a:r>
              <a:rPr lang="en-US" sz="1800"/>
              <a:t>Chart 9: Mining Production Data (units in 1000 q)</a:t>
            </a:r>
          </a:p>
        </c:rich>
      </c:tx>
      <c:layout>
        <c:manualLayout>
          <c:xMode val="edge"/>
          <c:yMode val="edge"/>
          <c:x val="9.8741427616338848E-2"/>
          <c:y val="2.7777865486063029E-2"/>
        </c:manualLayout>
      </c:layout>
      <c:overlay val="0"/>
      <c:spPr>
        <a:noFill/>
        <a:ln>
          <a:noFill/>
        </a:ln>
        <a:effectLst/>
      </c:spPr>
    </c:title>
    <c:autoTitleDeleted val="0"/>
    <c:plotArea>
      <c:layout/>
      <c:barChart>
        <c:barDir val="col"/>
        <c:grouping val="clustered"/>
        <c:varyColors val="0"/>
        <c:ser>
          <c:idx val="0"/>
          <c:order val="0"/>
          <c:tx>
            <c:strRef>
              <c:f>'Tab 7'!$B$44</c:f>
              <c:strCache>
                <c:ptCount val="1"/>
                <c:pt idx="0">
                  <c:v>1938</c:v>
                </c:pt>
              </c:strCache>
            </c:strRef>
          </c:tx>
          <c:spPr>
            <a:solidFill>
              <a:schemeClr val="accent1"/>
            </a:solidFill>
            <a:ln>
              <a:noFill/>
            </a:ln>
            <a:effectLst/>
          </c:spPr>
          <c:invertIfNegative val="0"/>
          <c:cat>
            <c:strRef>
              <c:f>'Tab 7'!$A$45:$A$51</c:f>
              <c:strCache>
                <c:ptCount val="7"/>
                <c:pt idx="0">
                  <c:v>Black carbon</c:v>
                </c:pt>
                <c:pt idx="1">
                  <c:v>Brown Coal</c:v>
                </c:pt>
                <c:pt idx="2">
                  <c:v>Iron Ore</c:v>
                </c:pt>
                <c:pt idx="3">
                  <c:v>Alumi-num</c:v>
                </c:pt>
                <c:pt idx="4">
                  <c:v>Petrol-eum</c:v>
                </c:pt>
                <c:pt idx="5">
                  <c:v>Natural Gas (1000 m^3)</c:v>
                </c:pt>
                <c:pt idx="6">
                  <c:v>Crude Iron</c:v>
                </c:pt>
              </c:strCache>
            </c:strRef>
          </c:cat>
          <c:val>
            <c:numRef>
              <c:f>'Tab 7'!$B$45:$B$51</c:f>
              <c:numCache>
                <c:formatCode>General</c:formatCode>
                <c:ptCount val="7"/>
                <c:pt idx="0">
                  <c:v>868</c:v>
                </c:pt>
                <c:pt idx="1">
                  <c:v>6.9210000000000003</c:v>
                </c:pt>
                <c:pt idx="2">
                  <c:v>248</c:v>
                </c:pt>
                <c:pt idx="3">
                  <c:v>450</c:v>
                </c:pt>
                <c:pt idx="4">
                  <c:v>36</c:v>
                </c:pt>
                <c:pt idx="5">
                  <c:v>675</c:v>
                </c:pt>
                <c:pt idx="6">
                  <c:v>279</c:v>
                </c:pt>
              </c:numCache>
            </c:numRef>
          </c:val>
          <c:extLst xmlns:c16r2="http://schemas.microsoft.com/office/drawing/2015/06/chart">
            <c:ext xmlns:c16="http://schemas.microsoft.com/office/drawing/2014/chart" uri="{C3380CC4-5D6E-409C-BE32-E72D297353CC}">
              <c16:uniqueId val="{00000000-762D-4591-906F-6E9C90064547}"/>
            </c:ext>
          </c:extLst>
        </c:ser>
        <c:ser>
          <c:idx val="1"/>
          <c:order val="1"/>
          <c:tx>
            <c:strRef>
              <c:f>'Tab 7'!$C$44</c:f>
              <c:strCache>
                <c:ptCount val="1"/>
                <c:pt idx="0">
                  <c:v>1945 (2nd half)</c:v>
                </c:pt>
              </c:strCache>
            </c:strRef>
          </c:tx>
          <c:spPr>
            <a:solidFill>
              <a:schemeClr val="accent2"/>
            </a:solidFill>
            <a:ln>
              <a:noFill/>
            </a:ln>
            <a:effectLst/>
          </c:spPr>
          <c:invertIfNegative val="0"/>
          <c:cat>
            <c:strRef>
              <c:f>'Tab 7'!$A$45:$A$51</c:f>
              <c:strCache>
                <c:ptCount val="7"/>
                <c:pt idx="0">
                  <c:v>Black carbon</c:v>
                </c:pt>
                <c:pt idx="1">
                  <c:v>Brown Coal</c:v>
                </c:pt>
                <c:pt idx="2">
                  <c:v>Iron Ore</c:v>
                </c:pt>
                <c:pt idx="3">
                  <c:v>Alumi-num</c:v>
                </c:pt>
                <c:pt idx="4">
                  <c:v>Petrol-eum</c:v>
                </c:pt>
                <c:pt idx="5">
                  <c:v>Natural Gas (1000 m^3)</c:v>
                </c:pt>
                <c:pt idx="6">
                  <c:v>Crude Iron</c:v>
                </c:pt>
              </c:strCache>
            </c:strRef>
          </c:cat>
          <c:val>
            <c:numRef>
              <c:f>'Tab 7'!$C$45:$C$51</c:f>
              <c:numCache>
                <c:formatCode>General</c:formatCode>
                <c:ptCount val="7"/>
                <c:pt idx="0">
                  <c:v>569</c:v>
                </c:pt>
                <c:pt idx="1">
                  <c:v>3.5419999999999998</c:v>
                </c:pt>
                <c:pt idx="2">
                  <c:v>59</c:v>
                </c:pt>
                <c:pt idx="3">
                  <c:v>30</c:v>
                </c:pt>
                <c:pt idx="4">
                  <c:v>592</c:v>
                </c:pt>
                <c:pt idx="5">
                  <c:v>6.7089999999999996</c:v>
                </c:pt>
                <c:pt idx="6">
                  <c:v>13</c:v>
                </c:pt>
              </c:numCache>
            </c:numRef>
          </c:val>
          <c:extLst xmlns:c16r2="http://schemas.microsoft.com/office/drawing/2015/06/chart">
            <c:ext xmlns:c16="http://schemas.microsoft.com/office/drawing/2014/chart" uri="{C3380CC4-5D6E-409C-BE32-E72D297353CC}">
              <c16:uniqueId val="{00000001-762D-4591-906F-6E9C90064547}"/>
            </c:ext>
          </c:extLst>
        </c:ser>
        <c:ser>
          <c:idx val="2"/>
          <c:order val="2"/>
          <c:tx>
            <c:strRef>
              <c:f>'Tab 7'!$D$44</c:f>
              <c:strCache>
                <c:ptCount val="1"/>
                <c:pt idx="0">
                  <c:v>1946 (1st half)</c:v>
                </c:pt>
              </c:strCache>
            </c:strRef>
          </c:tx>
          <c:spPr>
            <a:solidFill>
              <a:schemeClr val="accent3"/>
            </a:solidFill>
            <a:ln>
              <a:noFill/>
            </a:ln>
            <a:effectLst/>
          </c:spPr>
          <c:invertIfNegative val="0"/>
          <c:cat>
            <c:strRef>
              <c:f>'Tab 7'!$A$45:$A$51</c:f>
              <c:strCache>
                <c:ptCount val="7"/>
                <c:pt idx="0">
                  <c:v>Black carbon</c:v>
                </c:pt>
                <c:pt idx="1">
                  <c:v>Brown Coal</c:v>
                </c:pt>
                <c:pt idx="2">
                  <c:v>Iron Ore</c:v>
                </c:pt>
                <c:pt idx="3">
                  <c:v>Alumi-num</c:v>
                </c:pt>
                <c:pt idx="4">
                  <c:v>Petrol-eum</c:v>
                </c:pt>
                <c:pt idx="5">
                  <c:v>Natural Gas (1000 m^3)</c:v>
                </c:pt>
                <c:pt idx="6">
                  <c:v>Crude Iron</c:v>
                </c:pt>
              </c:strCache>
            </c:strRef>
          </c:cat>
          <c:val>
            <c:numRef>
              <c:f>'Tab 7'!$D$45:$D$51</c:f>
              <c:numCache>
                <c:formatCode>General</c:formatCode>
                <c:ptCount val="7"/>
                <c:pt idx="0">
                  <c:v>560</c:v>
                </c:pt>
                <c:pt idx="1">
                  <c:v>4.343</c:v>
                </c:pt>
                <c:pt idx="2">
                  <c:v>81</c:v>
                </c:pt>
                <c:pt idx="3">
                  <c:v>41</c:v>
                </c:pt>
                <c:pt idx="4">
                  <c:v>577</c:v>
                </c:pt>
                <c:pt idx="5">
                  <c:v>7.8479999999999999</c:v>
                </c:pt>
                <c:pt idx="6">
                  <c:v>82</c:v>
                </c:pt>
              </c:numCache>
            </c:numRef>
          </c:val>
          <c:extLst xmlns:c16r2="http://schemas.microsoft.com/office/drawing/2015/06/chart">
            <c:ext xmlns:c16="http://schemas.microsoft.com/office/drawing/2014/chart" uri="{C3380CC4-5D6E-409C-BE32-E72D297353CC}">
              <c16:uniqueId val="{00000002-762D-4591-906F-6E9C90064547}"/>
            </c:ext>
          </c:extLst>
        </c:ser>
        <c:dLbls>
          <c:showLegendKey val="0"/>
          <c:showVal val="0"/>
          <c:showCatName val="0"/>
          <c:showSerName val="0"/>
          <c:showPercent val="0"/>
          <c:showBubbleSize val="0"/>
        </c:dLbls>
        <c:gapWidth val="150"/>
        <c:axId val="869835808"/>
        <c:axId val="869840160"/>
      </c:barChart>
      <c:catAx>
        <c:axId val="8698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869840160"/>
        <c:crosses val="autoZero"/>
        <c:auto val="1"/>
        <c:lblAlgn val="ctr"/>
        <c:lblOffset val="100"/>
        <c:noMultiLvlLbl val="0"/>
      </c:catAx>
      <c:valAx>
        <c:axId val="869840160"/>
        <c:scaling>
          <c:orientation val="minMax"/>
        </c:scaling>
        <c:delete val="0"/>
        <c:axPos val="l"/>
        <c:majorGridlines>
          <c:spPr>
            <a:ln w="9525" cap="flat" cmpd="sng" algn="ctr">
              <a:solidFill>
                <a:schemeClr val="tx1">
                  <a:lumMod val="15000"/>
                  <a:lumOff val="85000"/>
                </a:schemeClr>
              </a:solidFill>
              <a:prstDash val="sysDash"/>
              <a:round/>
            </a:ln>
            <a:effectLst/>
          </c:spPr>
        </c:majorGridlines>
        <c:numFmt formatCode="General" sourceLinked="1"/>
        <c:majorTickMark val="none"/>
        <c:minorTickMark val="none"/>
        <c:tickLblPos val="nextTo"/>
        <c:spPr>
          <a:noFill/>
          <a:ln>
            <a:solidFill>
              <a:schemeClr val="bg1">
                <a:lumMod val="65000"/>
              </a:schemeClr>
            </a:solidFill>
          </a:ln>
          <a:effectLst/>
        </c:spPr>
        <c:txPr>
          <a:bodyPr rot="-60000000" vert="horz"/>
          <a:lstStyle/>
          <a:p>
            <a:pPr>
              <a:defRPr/>
            </a:pPr>
            <a:endParaRPr lang="en-US"/>
          </a:p>
        </c:txPr>
        <c:crossAx val="869835808"/>
        <c:crosses val="autoZero"/>
        <c:crossBetween val="between"/>
        <c:majorUnit val="200"/>
      </c:valAx>
      <c:dTable>
        <c:showHorzBorder val="1"/>
        <c:showVertBorder val="1"/>
        <c:showOutline val="1"/>
        <c:showKeys val="1"/>
        <c:spPr>
          <a:noFill/>
          <a:ln w="9525" cap="flat" cmpd="sng" algn="ctr">
            <a:solidFill>
              <a:schemeClr val="tx1">
                <a:lumMod val="15000"/>
                <a:lumOff val="85000"/>
              </a:schemeClr>
            </a:solidFill>
            <a:round/>
          </a:ln>
          <a:effectLst/>
        </c:sp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chemeClr val="tx1"/>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solidFill>
                <a:latin typeface="+mn-lt"/>
                <a:ea typeface="+mn-ea"/>
                <a:cs typeface="+mn-cs"/>
              </a:defRPr>
            </a:pPr>
            <a:r>
              <a:rPr lang="en-US" sz="2000" b="1">
                <a:solidFill>
                  <a:schemeClr val="tx1"/>
                </a:solidFill>
              </a:rPr>
              <a:t>Log Scale</a:t>
            </a:r>
            <a:r>
              <a:rPr lang="en-US" sz="2000" b="1" baseline="0">
                <a:solidFill>
                  <a:schemeClr val="tx1"/>
                </a:solidFill>
              </a:rPr>
              <a:t> - Crude Oil Prices (Pengo per Ton of 7.7 bbl)</a:t>
            </a:r>
            <a:endParaRPr lang="en-US" sz="2000" b="1">
              <a:solidFill>
                <a:schemeClr val="tx1"/>
              </a:solidFill>
            </a:endParaRPr>
          </a:p>
        </c:rich>
      </c:tx>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3250782712553846"/>
          <c:y val="7.3876392385525985E-2"/>
          <c:w val="0.85005348322534136"/>
          <c:h val="0.64574803699715932"/>
        </c:manualLayout>
      </c:layout>
      <c:barChart>
        <c:barDir val="col"/>
        <c:grouping val="clustered"/>
        <c:varyColors val="0"/>
        <c:ser>
          <c:idx val="0"/>
          <c:order val="0"/>
          <c:spPr>
            <a:solidFill>
              <a:schemeClr val="accent1"/>
            </a:solidFill>
            <a:ln>
              <a:noFill/>
            </a:ln>
            <a:effectLst/>
          </c:spPr>
          <c:invertIfNegative val="0"/>
          <c:cat>
            <c:strRef>
              <c:f>('Tab 8'!$H$23:$H$28,'Tab 8'!$H$30:$H$42,'Tab 8'!$H$43:$H$52)</c:f>
              <c:strCache>
                <c:ptCount val="29"/>
                <c:pt idx="0">
                  <c:v>Apr. 17-May 22, 1945</c:v>
                </c:pt>
                <c:pt idx="1">
                  <c:v>May 23-June 13</c:v>
                </c:pt>
                <c:pt idx="2">
                  <c:v>June 14-Oct. 27</c:v>
                </c:pt>
                <c:pt idx="3">
                  <c:v>Oct. 28-Nov. 19</c:v>
                </c:pt>
                <c:pt idx="4">
                  <c:v>Nov. 20-Dec. 12</c:v>
                </c:pt>
                <c:pt idx="5">
                  <c:v>Dec. 14-Dec. 31</c:v>
                </c:pt>
                <c:pt idx="6">
                  <c:v>Jan. 1-21, 1946</c:v>
                </c:pt>
                <c:pt idx="7">
                  <c:v>Jan. 22-Feb. 10</c:v>
                </c:pt>
                <c:pt idx="8">
                  <c:v>Feb. 11-24</c:v>
                </c:pt>
                <c:pt idx="9">
                  <c:v>Feb. 25-Mar. 12</c:v>
                </c:pt>
                <c:pt idx="10">
                  <c:v>Mar. 13-27</c:v>
                </c:pt>
                <c:pt idx="11">
                  <c:v>Mar. 28-Apr. 9</c:v>
                </c:pt>
                <c:pt idx="12">
                  <c:v>Apr. 10-17</c:v>
                </c:pt>
                <c:pt idx="13">
                  <c:v>Apr. 18-May 5</c:v>
                </c:pt>
                <c:pt idx="14">
                  <c:v>May 6-10</c:v>
                </c:pt>
                <c:pt idx="15">
                  <c:v>May 11-17</c:v>
                </c:pt>
                <c:pt idx="16">
                  <c:v>May 18-22</c:v>
                </c:pt>
                <c:pt idx="17">
                  <c:v>May 23-30</c:v>
                </c:pt>
                <c:pt idx="18">
                  <c:v>June 1-2</c:v>
                </c:pt>
                <c:pt idx="19">
                  <c:v>3-Jun</c:v>
                </c:pt>
                <c:pt idx="20">
                  <c:v>12-Jun</c:v>
                </c:pt>
                <c:pt idx="21">
                  <c:v>20-Jun</c:v>
                </c:pt>
                <c:pt idx="22">
                  <c:v>27-Jun</c:v>
                </c:pt>
                <c:pt idx="23">
                  <c:v>2-Jul</c:v>
                </c:pt>
                <c:pt idx="24">
                  <c:v>9-Jul</c:v>
                </c:pt>
                <c:pt idx="25">
                  <c:v>15-Jul</c:v>
                </c:pt>
                <c:pt idx="26">
                  <c:v>19-Jul</c:v>
                </c:pt>
                <c:pt idx="27">
                  <c:v>30-Jul</c:v>
                </c:pt>
                <c:pt idx="28">
                  <c:v>Final price before conversion</c:v>
                </c:pt>
              </c:strCache>
            </c:strRef>
          </c:cat>
          <c:val>
            <c:numRef>
              <c:f>('Tab 8'!$I$23:$I$28,'Tab 8'!$I$30:$I$42,'Tab 8'!$I$43:$I$52)</c:f>
              <c:numCache>
                <c:formatCode>General</c:formatCode>
                <c:ptCount val="29"/>
                <c:pt idx="0">
                  <c:v>600</c:v>
                </c:pt>
                <c:pt idx="1">
                  <c:v>866</c:v>
                </c:pt>
                <c:pt idx="2">
                  <c:v>1100</c:v>
                </c:pt>
                <c:pt idx="3">
                  <c:v>12100</c:v>
                </c:pt>
                <c:pt idx="4">
                  <c:v>71500</c:v>
                </c:pt>
                <c:pt idx="5">
                  <c:v>143000</c:v>
                </c:pt>
                <c:pt idx="6">
                  <c:v>143000</c:v>
                </c:pt>
                <c:pt idx="7">
                  <c:v>280000</c:v>
                </c:pt>
                <c:pt idx="8">
                  <c:v>2000000</c:v>
                </c:pt>
                <c:pt idx="9">
                  <c:v>9000000</c:v>
                </c:pt>
                <c:pt idx="10">
                  <c:v>25000000</c:v>
                </c:pt>
                <c:pt idx="11">
                  <c:v>68750000</c:v>
                </c:pt>
                <c:pt idx="12">
                  <c:v>246000000</c:v>
                </c:pt>
                <c:pt idx="13">
                  <c:v>450000000</c:v>
                </c:pt>
                <c:pt idx="14">
                  <c:v>900000000</c:v>
                </c:pt>
                <c:pt idx="15">
                  <c:v>2700000000</c:v>
                </c:pt>
                <c:pt idx="16">
                  <c:v>8000000000</c:v>
                </c:pt>
                <c:pt idx="17">
                  <c:v>32400000000</c:v>
                </c:pt>
                <c:pt idx="18">
                  <c:v>311000000000</c:v>
                </c:pt>
                <c:pt idx="19">
                  <c:v>570000000000</c:v>
                </c:pt>
                <c:pt idx="20">
                  <c:v>6686000000000</c:v>
                </c:pt>
                <c:pt idx="21">
                  <c:v>100980000000000</c:v>
                </c:pt>
                <c:pt idx="22">
                  <c:v>1.2E+16</c:v>
                </c:pt>
                <c:pt idx="23">
                  <c:v>1.08E+17</c:v>
                </c:pt>
                <c:pt idx="24">
                  <c:v>2E+20</c:v>
                </c:pt>
                <c:pt idx="25">
                  <c:v>2.1600000000000002E+23</c:v>
                </c:pt>
                <c:pt idx="26">
                  <c:v>3.5200000000000001E+24</c:v>
                </c:pt>
                <c:pt idx="27">
                  <c:v>4.4999999999999996E+31</c:v>
                </c:pt>
                <c:pt idx="28">
                  <c:v>4.5540000000000001E+31</c:v>
                </c:pt>
              </c:numCache>
            </c:numRef>
          </c:val>
          <c:extLst xmlns:c16r2="http://schemas.microsoft.com/office/drawing/2015/06/chart">
            <c:ext xmlns:c16="http://schemas.microsoft.com/office/drawing/2014/chart" uri="{C3380CC4-5D6E-409C-BE32-E72D297353CC}">
              <c16:uniqueId val="{00000000-DB20-4D0D-A35F-4FF038BF621F}"/>
            </c:ext>
          </c:extLst>
        </c:ser>
        <c:dLbls>
          <c:showLegendKey val="0"/>
          <c:showVal val="0"/>
          <c:showCatName val="0"/>
          <c:showSerName val="0"/>
          <c:showPercent val="0"/>
          <c:showBubbleSize val="0"/>
        </c:dLbls>
        <c:gapWidth val="182"/>
        <c:axId val="869833632"/>
        <c:axId val="869839616"/>
      </c:barChart>
      <c:catAx>
        <c:axId val="869833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69839616"/>
        <c:crosses val="autoZero"/>
        <c:auto val="1"/>
        <c:lblAlgn val="ctr"/>
        <c:lblOffset val="100"/>
        <c:noMultiLvlLbl val="0"/>
      </c:catAx>
      <c:valAx>
        <c:axId val="869839616"/>
        <c:scaling>
          <c:logBase val="10"/>
          <c:orientation val="minMax"/>
        </c:scaling>
        <c:delete val="0"/>
        <c:axPos val="l"/>
        <c:majorGridlines>
          <c:spPr>
            <a:ln w="9525" cap="flat" cmpd="sng" algn="ctr">
              <a:solidFill>
                <a:schemeClr val="tx1">
                  <a:lumMod val="15000"/>
                  <a:lumOff val="8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8698336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chart" Target="../charts/chart2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6</xdr:col>
      <xdr:colOff>1404327</xdr:colOff>
      <xdr:row>5</xdr:row>
      <xdr:rowOff>61057</xdr:rowOff>
    </xdr:from>
    <xdr:to>
      <xdr:col>20</xdr:col>
      <xdr:colOff>573698</xdr:colOff>
      <xdr:row>34</xdr:row>
      <xdr:rowOff>184882</xdr:rowOff>
    </xdr:to>
    <xdr:graphicFrame macro="">
      <xdr:nvGraphicFramePr>
        <xdr:cNvPr id="2" name="Chart 1">
          <a:extLst>
            <a:ext uri="{FF2B5EF4-FFF2-40B4-BE49-F238E27FC236}">
              <a16:creationId xmlns=""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3</xdr:col>
      <xdr:colOff>809624</xdr:colOff>
      <xdr:row>13</xdr:row>
      <xdr:rowOff>28576</xdr:rowOff>
    </xdr:from>
    <xdr:to>
      <xdr:col>13</xdr:col>
      <xdr:colOff>261937</xdr:colOff>
      <xdr:row>30</xdr:row>
      <xdr:rowOff>130968</xdr:rowOff>
    </xdr:to>
    <xdr:graphicFrame macro="">
      <xdr:nvGraphicFramePr>
        <xdr:cNvPr id="6" name="Chart 5">
          <a:extLst>
            <a:ext uri="{FF2B5EF4-FFF2-40B4-BE49-F238E27FC236}">
              <a16:creationId xmlns="" xmlns:a16="http://schemas.microsoft.com/office/drawing/2014/main" id="{00000000-0008-0000-0C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847725</xdr:colOff>
      <xdr:row>31</xdr:row>
      <xdr:rowOff>-1</xdr:rowOff>
    </xdr:from>
    <xdr:to>
      <xdr:col>16</xdr:col>
      <xdr:colOff>381000</xdr:colOff>
      <xdr:row>51</xdr:row>
      <xdr:rowOff>166687</xdr:rowOff>
    </xdr:to>
    <xdr:graphicFrame macro="">
      <xdr:nvGraphicFramePr>
        <xdr:cNvPr id="7" name="Chart 6">
          <a:extLst>
            <a:ext uri="{FF2B5EF4-FFF2-40B4-BE49-F238E27FC236}">
              <a16:creationId xmlns="" xmlns:a16="http://schemas.microsoft.com/office/drawing/2014/main" id="{00000000-0008-0000-0C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400050</xdr:colOff>
      <xdr:row>57</xdr:row>
      <xdr:rowOff>166686</xdr:rowOff>
    </xdr:from>
    <xdr:to>
      <xdr:col>12</xdr:col>
      <xdr:colOff>571500</xdr:colOff>
      <xdr:row>73</xdr:row>
      <xdr:rowOff>95249</xdr:rowOff>
    </xdr:to>
    <xdr:graphicFrame macro="">
      <xdr:nvGraphicFramePr>
        <xdr:cNvPr id="4" name="Chart 3">
          <a:extLst>
            <a:ext uri="{FF2B5EF4-FFF2-40B4-BE49-F238E27FC236}">
              <a16:creationId xmlns=""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409575</xdr:colOff>
      <xdr:row>74</xdr:row>
      <xdr:rowOff>61911</xdr:rowOff>
    </xdr:from>
    <xdr:to>
      <xdr:col>12</xdr:col>
      <xdr:colOff>523875</xdr:colOff>
      <xdr:row>90</xdr:row>
      <xdr:rowOff>142874</xdr:rowOff>
    </xdr:to>
    <xdr:graphicFrame macro="">
      <xdr:nvGraphicFramePr>
        <xdr:cNvPr id="8" name="Chart 7">
          <a:extLst>
            <a:ext uri="{FF2B5EF4-FFF2-40B4-BE49-F238E27FC236}">
              <a16:creationId xmlns="" xmlns:a16="http://schemas.microsoft.com/office/drawing/2014/main" id="{00000000-0008-0000-0C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571499</xdr:colOff>
      <xdr:row>4</xdr:row>
      <xdr:rowOff>185736</xdr:rowOff>
    </xdr:from>
    <xdr:to>
      <xdr:col>13</xdr:col>
      <xdr:colOff>352424</xdr:colOff>
      <xdr:row>22</xdr:row>
      <xdr:rowOff>133349</xdr:rowOff>
    </xdr:to>
    <xdr:graphicFrame macro="">
      <xdr:nvGraphicFramePr>
        <xdr:cNvPr id="2" name="Chart 1">
          <a:extLst>
            <a:ext uri="{FF2B5EF4-FFF2-40B4-BE49-F238E27FC236}">
              <a16:creationId xmlns=""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502443</xdr:colOff>
      <xdr:row>30</xdr:row>
      <xdr:rowOff>128586</xdr:rowOff>
    </xdr:from>
    <xdr:to>
      <xdr:col>26</xdr:col>
      <xdr:colOff>435767</xdr:colOff>
      <xdr:row>49</xdr:row>
      <xdr:rowOff>64293</xdr:rowOff>
    </xdr:to>
    <xdr:graphicFrame macro="">
      <xdr:nvGraphicFramePr>
        <xdr:cNvPr id="2" name="Chart 1">
          <a:extLst>
            <a:ext uri="{FF2B5EF4-FFF2-40B4-BE49-F238E27FC236}">
              <a16:creationId xmlns=""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21430</xdr:colOff>
      <xdr:row>2</xdr:row>
      <xdr:rowOff>171449</xdr:rowOff>
    </xdr:from>
    <xdr:to>
      <xdr:col>28</xdr:col>
      <xdr:colOff>59531</xdr:colOff>
      <xdr:row>15</xdr:row>
      <xdr:rowOff>92869</xdr:rowOff>
    </xdr:to>
    <xdr:graphicFrame macro="">
      <xdr:nvGraphicFramePr>
        <xdr:cNvPr id="5" name="Chart 4">
          <a:extLst>
            <a:ext uri="{FF2B5EF4-FFF2-40B4-BE49-F238E27FC236}">
              <a16:creationId xmlns=""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47624</xdr:colOff>
      <xdr:row>16</xdr:row>
      <xdr:rowOff>164303</xdr:rowOff>
    </xdr:from>
    <xdr:to>
      <xdr:col>27</xdr:col>
      <xdr:colOff>345281</xdr:colOff>
      <xdr:row>29</xdr:row>
      <xdr:rowOff>142874</xdr:rowOff>
    </xdr:to>
    <xdr:graphicFrame macro="">
      <xdr:nvGraphicFramePr>
        <xdr:cNvPr id="6" name="Chart 5">
          <a:extLst>
            <a:ext uri="{FF2B5EF4-FFF2-40B4-BE49-F238E27FC236}">
              <a16:creationId xmlns="" xmlns:a16="http://schemas.microsoft.com/office/drawing/2014/main" id="{00000000-0008-0000-1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0.16205</cdr:x>
      <cdr:y>0.12765</cdr:y>
    </cdr:from>
    <cdr:to>
      <cdr:x>0.26012</cdr:x>
      <cdr:y>0.19332</cdr:y>
    </cdr:to>
    <cdr:sp macro="" textlink="">
      <cdr:nvSpPr>
        <cdr:cNvPr id="2" name="TextBox 1"/>
        <cdr:cNvSpPr txBox="1"/>
      </cdr:nvSpPr>
      <cdr:spPr>
        <a:xfrm xmlns:a="http://schemas.openxmlformats.org/drawingml/2006/main">
          <a:off x="1032254" y="507929"/>
          <a:ext cx="624691" cy="2613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1497%</a:t>
          </a:r>
        </a:p>
      </cdr:txBody>
    </cdr:sp>
  </cdr:relSizeAnchor>
</c:userShapes>
</file>

<file path=xl/drawings/drawing2.xml><?xml version="1.0" encoding="utf-8"?>
<xdr:wsDr xmlns:xdr="http://schemas.openxmlformats.org/drawingml/2006/spreadsheetDrawing" xmlns:a="http://schemas.openxmlformats.org/drawingml/2006/main">
  <xdr:twoCellAnchor>
    <xdr:from>
      <xdr:col>3</xdr:col>
      <xdr:colOff>0</xdr:colOff>
      <xdr:row>3</xdr:row>
      <xdr:rowOff>0</xdr:rowOff>
    </xdr:from>
    <xdr:to>
      <xdr:col>18</xdr:col>
      <xdr:colOff>457201</xdr:colOff>
      <xdr:row>32</xdr:row>
      <xdr:rowOff>114299</xdr:rowOff>
    </xdr:to>
    <xdr:graphicFrame macro="">
      <xdr:nvGraphicFramePr>
        <xdr:cNvPr id="2" name="Chart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326231</xdr:colOff>
      <xdr:row>5</xdr:row>
      <xdr:rowOff>14287</xdr:rowOff>
    </xdr:from>
    <xdr:to>
      <xdr:col>14</xdr:col>
      <xdr:colOff>173832</xdr:colOff>
      <xdr:row>23</xdr:row>
      <xdr:rowOff>42862</xdr:rowOff>
    </xdr:to>
    <xdr:graphicFrame macro="">
      <xdr:nvGraphicFramePr>
        <xdr:cNvPr id="5" name="Chart 4">
          <a:extLst>
            <a:ext uri="{FF2B5EF4-FFF2-40B4-BE49-F238E27FC236}">
              <a16:creationId xmlns=""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0.14199</cdr:x>
      <cdr:y>0.25619</cdr:y>
    </cdr:from>
    <cdr:to>
      <cdr:x>0.94152</cdr:x>
      <cdr:y>0.25757</cdr:y>
    </cdr:to>
    <cdr:cxnSp macro="">
      <cdr:nvCxnSpPr>
        <cdr:cNvPr id="3" name="Straight Connector 2"/>
        <cdr:cNvCxnSpPr/>
      </cdr:nvCxnSpPr>
      <cdr:spPr>
        <a:xfrm xmlns:a="http://schemas.openxmlformats.org/drawingml/2006/main" flipV="1">
          <a:off x="840566" y="885810"/>
          <a:ext cx="4733048" cy="4772"/>
        </a:xfrm>
        <a:prstGeom xmlns:a="http://schemas.openxmlformats.org/drawingml/2006/main" prst="line">
          <a:avLst/>
        </a:prstGeom>
        <a:ln xmlns:a="http://schemas.openxmlformats.org/drawingml/2006/main" w="1905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0.23854</cdr:x>
      <cdr:y>0.26446</cdr:y>
    </cdr:from>
    <cdr:to>
      <cdr:x>0.56034</cdr:x>
      <cdr:y>0.36088</cdr:y>
    </cdr:to>
    <cdr:sp macro="" textlink="">
      <cdr:nvSpPr>
        <cdr:cNvPr id="2" name="TextBox 1"/>
        <cdr:cNvSpPr txBox="1"/>
      </cdr:nvSpPr>
      <cdr:spPr>
        <a:xfrm xmlns:a="http://schemas.openxmlformats.org/drawingml/2006/main">
          <a:off x="1412081" y="914400"/>
          <a:ext cx="1905000"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solidFill>
                <a:srgbClr val="FF0000"/>
              </a:solidFill>
            </a:rPr>
            <a:t>1938 (pre-war)</a:t>
          </a:r>
          <a:r>
            <a:rPr lang="en-US" sz="1400" b="1" baseline="0">
              <a:solidFill>
                <a:srgbClr val="FF0000"/>
              </a:solidFill>
            </a:rPr>
            <a:t> level</a:t>
          </a:r>
          <a:endParaRPr lang="en-US" sz="1400" b="1">
            <a:solidFill>
              <a:srgbClr val="FF0000"/>
            </a:solidFil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5</xdr:col>
      <xdr:colOff>123826</xdr:colOff>
      <xdr:row>7</xdr:row>
      <xdr:rowOff>9525</xdr:rowOff>
    </xdr:from>
    <xdr:to>
      <xdr:col>14</xdr:col>
      <xdr:colOff>520212</xdr:colOff>
      <xdr:row>23</xdr:row>
      <xdr:rowOff>161192</xdr:rowOff>
    </xdr:to>
    <xdr:graphicFrame macro="">
      <xdr:nvGraphicFramePr>
        <xdr:cNvPr id="4" name="Chart 3">
          <a:extLst>
            <a:ext uri="{FF2B5EF4-FFF2-40B4-BE49-F238E27FC236}">
              <a16:creationId xmlns=""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352424</xdr:colOff>
      <xdr:row>28</xdr:row>
      <xdr:rowOff>42861</xdr:rowOff>
    </xdr:from>
    <xdr:to>
      <xdr:col>16</xdr:col>
      <xdr:colOff>19049</xdr:colOff>
      <xdr:row>41</xdr:row>
      <xdr:rowOff>47624</xdr:rowOff>
    </xdr:to>
    <xdr:graphicFrame macro="">
      <xdr:nvGraphicFramePr>
        <xdr:cNvPr id="2" name="Chart 1">
          <a:extLst>
            <a:ext uri="{FF2B5EF4-FFF2-40B4-BE49-F238E27FC236}">
              <a16:creationId xmlns=""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776286</xdr:colOff>
      <xdr:row>65</xdr:row>
      <xdr:rowOff>69055</xdr:rowOff>
    </xdr:from>
    <xdr:to>
      <xdr:col>11</xdr:col>
      <xdr:colOff>428624</xdr:colOff>
      <xdr:row>91</xdr:row>
      <xdr:rowOff>119062</xdr:rowOff>
    </xdr:to>
    <xdr:graphicFrame macro="">
      <xdr:nvGraphicFramePr>
        <xdr:cNvPr id="5" name="Chart 4">
          <a:extLst>
            <a:ext uri="{FF2B5EF4-FFF2-40B4-BE49-F238E27FC236}">
              <a16:creationId xmlns=""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1710135</xdr:colOff>
      <xdr:row>0</xdr:row>
      <xdr:rowOff>171846</xdr:rowOff>
    </xdr:from>
    <xdr:to>
      <xdr:col>16</xdr:col>
      <xdr:colOff>218281</xdr:colOff>
      <xdr:row>16</xdr:row>
      <xdr:rowOff>0</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38893</xdr:colOff>
      <xdr:row>64</xdr:row>
      <xdr:rowOff>167876</xdr:rowOff>
    </xdr:from>
    <xdr:to>
      <xdr:col>4</xdr:col>
      <xdr:colOff>510778</xdr:colOff>
      <xdr:row>88</xdr:row>
      <xdr:rowOff>29766</xdr:rowOff>
    </xdr:to>
    <xdr:graphicFrame macro="">
      <xdr:nvGraphicFramePr>
        <xdr:cNvPr id="3" name="Chart 2">
          <a:extLst>
            <a:ext uri="{FF2B5EF4-FFF2-40B4-BE49-F238E27FC236}">
              <a16:creationId xmlns=""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352424</xdr:colOff>
      <xdr:row>9</xdr:row>
      <xdr:rowOff>128586</xdr:rowOff>
    </xdr:from>
    <xdr:to>
      <xdr:col>23</xdr:col>
      <xdr:colOff>495300</xdr:colOff>
      <xdr:row>50</xdr:row>
      <xdr:rowOff>95250</xdr:rowOff>
    </xdr:to>
    <xdr:graphicFrame macro="">
      <xdr:nvGraphicFramePr>
        <xdr:cNvPr id="3" name="Chart 2">
          <a:extLst>
            <a:ext uri="{FF2B5EF4-FFF2-40B4-BE49-F238E27FC236}">
              <a16:creationId xmlns=""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133349</xdr:colOff>
      <xdr:row>62</xdr:row>
      <xdr:rowOff>71436</xdr:rowOff>
    </xdr:from>
    <xdr:to>
      <xdr:col>6</xdr:col>
      <xdr:colOff>361950</xdr:colOff>
      <xdr:row>84</xdr:row>
      <xdr:rowOff>95249</xdr:rowOff>
    </xdr:to>
    <xdr:graphicFrame macro="">
      <xdr:nvGraphicFramePr>
        <xdr:cNvPr id="2" name="Chart 1">
          <a:extLst>
            <a:ext uri="{FF2B5EF4-FFF2-40B4-BE49-F238E27FC236}">
              <a16:creationId xmlns=""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0</xdr:colOff>
      <xdr:row>10</xdr:row>
      <xdr:rowOff>0</xdr:rowOff>
    </xdr:from>
    <xdr:to>
      <xdr:col>38</xdr:col>
      <xdr:colOff>142876</xdr:colOff>
      <xdr:row>50</xdr:row>
      <xdr:rowOff>157164</xdr:rowOff>
    </xdr:to>
    <xdr:graphicFrame macro="">
      <xdr:nvGraphicFramePr>
        <xdr:cNvPr id="4" name="Chart 3">
          <a:extLst>
            <a:ext uri="{FF2B5EF4-FFF2-40B4-BE49-F238E27FC236}">
              <a16:creationId xmlns=""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411079</xdr:colOff>
      <xdr:row>111</xdr:row>
      <xdr:rowOff>100260</xdr:rowOff>
    </xdr:from>
    <xdr:to>
      <xdr:col>16</xdr:col>
      <xdr:colOff>170446</xdr:colOff>
      <xdr:row>128</xdr:row>
      <xdr:rowOff>180474</xdr:rowOff>
    </xdr:to>
    <xdr:graphicFrame macro="">
      <xdr:nvGraphicFramePr>
        <xdr:cNvPr id="10" name="Chart 9">
          <a:extLst>
            <a:ext uri="{FF2B5EF4-FFF2-40B4-BE49-F238E27FC236}">
              <a16:creationId xmlns="" xmlns:a16="http://schemas.microsoft.com/office/drawing/2014/main" id="{00000000-0008-0000-0A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295276</xdr:colOff>
      <xdr:row>94</xdr:row>
      <xdr:rowOff>23811</xdr:rowOff>
    </xdr:from>
    <xdr:to>
      <xdr:col>10</xdr:col>
      <xdr:colOff>591553</xdr:colOff>
      <xdr:row>107</xdr:row>
      <xdr:rowOff>90237</xdr:rowOff>
    </xdr:to>
    <xdr:graphicFrame macro="">
      <xdr:nvGraphicFramePr>
        <xdr:cNvPr id="8" name="Chart 7">
          <a:extLst>
            <a:ext uri="{FF2B5EF4-FFF2-40B4-BE49-F238E27FC236}">
              <a16:creationId xmlns="" xmlns:a16="http://schemas.microsoft.com/office/drawing/2014/main" id="{00000000-0008-0000-0A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882313</xdr:colOff>
      <xdr:row>7</xdr:row>
      <xdr:rowOff>40103</xdr:rowOff>
    </xdr:from>
    <xdr:to>
      <xdr:col>13</xdr:col>
      <xdr:colOff>491289</xdr:colOff>
      <xdr:row>25</xdr:row>
      <xdr:rowOff>140368</xdr:rowOff>
    </xdr:to>
    <xdr:graphicFrame macro="">
      <xdr:nvGraphicFramePr>
        <xdr:cNvPr id="13" name="Chart 12">
          <a:extLst>
            <a:ext uri="{FF2B5EF4-FFF2-40B4-BE49-F238E27FC236}">
              <a16:creationId xmlns="" xmlns:a16="http://schemas.microsoft.com/office/drawing/2014/main" id="{00000000-0008-0000-0A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441158</xdr:colOff>
      <xdr:row>28</xdr:row>
      <xdr:rowOff>127334</xdr:rowOff>
    </xdr:from>
    <xdr:to>
      <xdr:col>10</xdr:col>
      <xdr:colOff>561475</xdr:colOff>
      <xdr:row>44</xdr:row>
      <xdr:rowOff>100263</xdr:rowOff>
    </xdr:to>
    <xdr:graphicFrame macro="">
      <xdr:nvGraphicFramePr>
        <xdr:cNvPr id="3" name="Chart 2">
          <a:extLst>
            <a:ext uri="{FF2B5EF4-FFF2-40B4-BE49-F238E27FC236}">
              <a16:creationId xmlns=""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260684</xdr:colOff>
      <xdr:row>144</xdr:row>
      <xdr:rowOff>97254</xdr:rowOff>
    </xdr:from>
    <xdr:to>
      <xdr:col>7</xdr:col>
      <xdr:colOff>200526</xdr:colOff>
      <xdr:row>158</xdr:row>
      <xdr:rowOff>173454</xdr:rowOff>
    </xdr:to>
    <xdr:graphicFrame macro="">
      <xdr:nvGraphicFramePr>
        <xdr:cNvPr id="4" name="Chart 3">
          <a:extLst>
            <a:ext uri="{FF2B5EF4-FFF2-40B4-BE49-F238E27FC236}">
              <a16:creationId xmlns=""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511340</xdr:colOff>
      <xdr:row>143</xdr:row>
      <xdr:rowOff>160421</xdr:rowOff>
    </xdr:from>
    <xdr:to>
      <xdr:col>15</xdr:col>
      <xdr:colOff>30078</xdr:colOff>
      <xdr:row>159</xdr:row>
      <xdr:rowOff>26068</xdr:rowOff>
    </xdr:to>
    <xdr:graphicFrame macro="">
      <xdr:nvGraphicFramePr>
        <xdr:cNvPr id="14" name="Chart 13">
          <a:extLst>
            <a:ext uri="{FF2B5EF4-FFF2-40B4-BE49-F238E27FC236}">
              <a16:creationId xmlns="" xmlns:a16="http://schemas.microsoft.com/office/drawing/2014/main" id="{00000000-0008-0000-0A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409969</xdr:colOff>
      <xdr:row>90</xdr:row>
      <xdr:rowOff>29766</xdr:rowOff>
    </xdr:from>
    <xdr:to>
      <xdr:col>6</xdr:col>
      <xdr:colOff>83343</xdr:colOff>
      <xdr:row>119</xdr:row>
      <xdr:rowOff>166688</xdr:rowOff>
    </xdr:to>
    <xdr:graphicFrame macro="">
      <xdr:nvGraphicFramePr>
        <xdr:cNvPr id="16" name="Chart 15">
          <a:extLst>
            <a:ext uri="{FF2B5EF4-FFF2-40B4-BE49-F238E27FC236}">
              <a16:creationId xmlns="" xmlns:a16="http://schemas.microsoft.com/office/drawing/2014/main" id="{00000000-0008-0000-0B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krieger.jhu.edu/iae/economic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hyperlink" Target="http://countrystudies.us/hungary/36.htm"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workbookViewId="0">
      <selection sqref="A1:E1"/>
    </sheetView>
  </sheetViews>
  <sheetFormatPr defaultRowHeight="15" x14ac:dyDescent="0.25"/>
  <cols>
    <col min="1" max="1" width="18.140625" customWidth="1"/>
    <col min="2" max="2" width="32.28515625" customWidth="1"/>
    <col min="5" max="5" width="16.140625" customWidth="1"/>
  </cols>
  <sheetData>
    <row r="1" spans="1:6" ht="24.75" customHeight="1" x14ac:dyDescent="0.25">
      <c r="A1" s="71" t="s">
        <v>0</v>
      </c>
      <c r="B1" s="71"/>
      <c r="C1" s="71"/>
      <c r="D1" s="71"/>
      <c r="E1" s="71"/>
      <c r="F1" s="48"/>
    </row>
    <row r="2" spans="1:6" ht="12.75" customHeight="1" x14ac:dyDescent="0.25">
      <c r="A2" s="67"/>
      <c r="B2" s="67"/>
      <c r="C2" s="67"/>
      <c r="D2" s="67"/>
      <c r="E2" s="67"/>
      <c r="F2" s="48"/>
    </row>
    <row r="3" spans="1:6" x14ac:dyDescent="0.25">
      <c r="A3" s="76" t="s">
        <v>1</v>
      </c>
      <c r="B3" s="76"/>
      <c r="C3" s="76"/>
      <c r="D3" s="76"/>
      <c r="E3" s="76"/>
    </row>
    <row r="4" spans="1:6" x14ac:dyDescent="0.25">
      <c r="A4" s="69"/>
      <c r="B4" s="69"/>
      <c r="C4" s="69"/>
      <c r="D4" s="69"/>
      <c r="E4" s="69"/>
    </row>
    <row r="5" spans="1:6" ht="14.25" customHeight="1" x14ac:dyDescent="0.25">
      <c r="A5" s="72" t="s">
        <v>2</v>
      </c>
      <c r="B5" s="72"/>
      <c r="C5" s="72"/>
      <c r="D5" s="72"/>
      <c r="E5" s="72"/>
    </row>
    <row r="6" spans="1:6" x14ac:dyDescent="0.25">
      <c r="A6" s="75" t="s">
        <v>3</v>
      </c>
      <c r="B6" s="75"/>
      <c r="C6" s="75"/>
      <c r="D6" s="75"/>
      <c r="E6" s="75"/>
    </row>
    <row r="7" spans="1:6" x14ac:dyDescent="0.25">
      <c r="A7" s="68"/>
      <c r="B7" s="68"/>
      <c r="C7" s="68"/>
      <c r="D7" s="68"/>
      <c r="E7" s="68"/>
    </row>
    <row r="8" spans="1:6" x14ac:dyDescent="0.25">
      <c r="A8" s="65" t="s">
        <v>4</v>
      </c>
      <c r="B8" s="78" t="s">
        <v>5</v>
      </c>
      <c r="C8" s="78"/>
      <c r="D8" s="78"/>
      <c r="E8" s="78"/>
    </row>
    <row r="9" spans="1:6" x14ac:dyDescent="0.25">
      <c r="A9" s="65" t="s">
        <v>6</v>
      </c>
      <c r="B9" s="78" t="s">
        <v>7</v>
      </c>
      <c r="C9" s="78"/>
      <c r="D9" s="78"/>
      <c r="E9" s="78"/>
    </row>
    <row r="10" spans="1:6" x14ac:dyDescent="0.25">
      <c r="A10" s="65" t="s">
        <v>8</v>
      </c>
      <c r="B10" s="78" t="s">
        <v>9</v>
      </c>
      <c r="C10" s="78"/>
      <c r="D10" s="78"/>
      <c r="E10" s="78"/>
    </row>
    <row r="11" spans="1:6" x14ac:dyDescent="0.25">
      <c r="A11" s="65" t="s">
        <v>10</v>
      </c>
      <c r="B11" s="78" t="s">
        <v>11</v>
      </c>
      <c r="C11" s="78"/>
      <c r="D11" s="78"/>
      <c r="E11" s="78"/>
    </row>
    <row r="12" spans="1:6" x14ac:dyDescent="0.25">
      <c r="A12" s="65" t="s">
        <v>12</v>
      </c>
      <c r="B12" s="78" t="s">
        <v>13</v>
      </c>
      <c r="C12" s="78"/>
      <c r="D12" s="78"/>
      <c r="E12" s="78"/>
    </row>
    <row r="13" spans="1:6" x14ac:dyDescent="0.25">
      <c r="A13" s="65" t="s">
        <v>14</v>
      </c>
      <c r="B13" s="78" t="s">
        <v>15</v>
      </c>
      <c r="C13" s="78"/>
      <c r="D13" s="78"/>
      <c r="E13" s="78"/>
    </row>
    <row r="14" spans="1:6" x14ac:dyDescent="0.25">
      <c r="A14" s="74" t="s">
        <v>16</v>
      </c>
      <c r="B14" s="73" t="s">
        <v>17</v>
      </c>
      <c r="C14" s="73"/>
      <c r="D14" s="73"/>
      <c r="E14" s="73"/>
    </row>
    <row r="15" spans="1:6" x14ac:dyDescent="0.25">
      <c r="A15" s="74"/>
      <c r="B15" s="73"/>
      <c r="C15" s="73"/>
      <c r="D15" s="73"/>
      <c r="E15" s="73"/>
    </row>
    <row r="16" spans="1:6" x14ac:dyDescent="0.25">
      <c r="A16" s="65" t="s">
        <v>18</v>
      </c>
      <c r="B16" t="s">
        <v>19</v>
      </c>
    </row>
    <row r="17" spans="1:5" x14ac:dyDescent="0.25">
      <c r="A17" s="74" t="s">
        <v>20</v>
      </c>
      <c r="B17" s="73" t="s">
        <v>21</v>
      </c>
      <c r="C17" s="73"/>
      <c r="D17" s="73"/>
      <c r="E17" s="73"/>
    </row>
    <row r="18" spans="1:5" x14ac:dyDescent="0.25">
      <c r="A18" s="74"/>
      <c r="B18" s="73"/>
      <c r="C18" s="73"/>
      <c r="D18" s="73"/>
      <c r="E18" s="73"/>
    </row>
    <row r="19" spans="1:5" x14ac:dyDescent="0.25">
      <c r="A19" s="65" t="s">
        <v>22</v>
      </c>
      <c r="B19" s="78" t="s">
        <v>23</v>
      </c>
      <c r="C19" s="78"/>
      <c r="D19" s="78"/>
      <c r="E19" s="78"/>
    </row>
    <row r="20" spans="1:5" x14ac:dyDescent="0.25">
      <c r="A20" s="65" t="s">
        <v>24</v>
      </c>
      <c r="B20" s="78" t="s">
        <v>25</v>
      </c>
      <c r="C20" s="78"/>
      <c r="D20" s="78"/>
      <c r="E20" s="78"/>
    </row>
    <row r="21" spans="1:5" x14ac:dyDescent="0.25">
      <c r="A21" s="65" t="s">
        <v>26</v>
      </c>
      <c r="B21" s="78" t="s">
        <v>27</v>
      </c>
      <c r="C21" s="78"/>
      <c r="D21" s="78"/>
      <c r="E21" s="78"/>
    </row>
    <row r="22" spans="1:5" x14ac:dyDescent="0.25">
      <c r="A22" s="65" t="s">
        <v>28</v>
      </c>
      <c r="B22" s="78" t="s">
        <v>29</v>
      </c>
      <c r="C22" s="78"/>
      <c r="D22" s="78"/>
      <c r="E22" s="78"/>
    </row>
    <row r="23" spans="1:5" x14ac:dyDescent="0.25">
      <c r="A23" s="65" t="s">
        <v>30</v>
      </c>
      <c r="B23" s="78" t="s">
        <v>31</v>
      </c>
      <c r="C23" s="78"/>
      <c r="D23" s="78"/>
      <c r="E23" s="78"/>
    </row>
    <row r="24" spans="1:5" x14ac:dyDescent="0.25">
      <c r="A24" s="65" t="s">
        <v>32</v>
      </c>
      <c r="B24" s="78" t="s">
        <v>33</v>
      </c>
      <c r="C24" s="78"/>
      <c r="D24" s="78"/>
      <c r="E24" s="78"/>
    </row>
    <row r="25" spans="1:5" x14ac:dyDescent="0.25">
      <c r="A25" s="65" t="s">
        <v>34</v>
      </c>
      <c r="B25" s="77" t="s">
        <v>35</v>
      </c>
      <c r="C25" s="77"/>
      <c r="D25" s="77"/>
      <c r="E25" s="77"/>
    </row>
    <row r="27" spans="1:5" x14ac:dyDescent="0.25">
      <c r="A27" t="s">
        <v>36</v>
      </c>
    </row>
    <row r="28" spans="1:5" x14ac:dyDescent="0.25">
      <c r="A28" s="60" t="s">
        <v>37</v>
      </c>
    </row>
  </sheetData>
  <mergeCells count="21">
    <mergeCell ref="B25:E25"/>
    <mergeCell ref="B24:E24"/>
    <mergeCell ref="A17:A18"/>
    <mergeCell ref="B17:E18"/>
    <mergeCell ref="B8:E8"/>
    <mergeCell ref="B9:E9"/>
    <mergeCell ref="B10:E10"/>
    <mergeCell ref="B11:E11"/>
    <mergeCell ref="B12:E12"/>
    <mergeCell ref="B13:E13"/>
    <mergeCell ref="B19:E19"/>
    <mergeCell ref="B20:E20"/>
    <mergeCell ref="B21:E21"/>
    <mergeCell ref="B22:E22"/>
    <mergeCell ref="B23:E23"/>
    <mergeCell ref="A1:E1"/>
    <mergeCell ref="A5:E5"/>
    <mergeCell ref="B14:E15"/>
    <mergeCell ref="A14:A15"/>
    <mergeCell ref="A6:E6"/>
    <mergeCell ref="A3:E3"/>
  </mergeCells>
  <hyperlinks>
    <hyperlink ref="A28" r:id="rId1"/>
  </hyperlinks>
  <pageMargins left="0.7" right="0.7" top="0.75" bottom="0.75" header="0.3" footer="0.3"/>
  <pageSetup orientation="portrait" horizontalDpi="200" verticalDpi="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7"/>
  <sheetViews>
    <sheetView zoomScale="80" zoomScaleNormal="80" workbookViewId="0"/>
  </sheetViews>
  <sheetFormatPr defaultRowHeight="15" x14ac:dyDescent="0.25"/>
  <cols>
    <col min="1" max="1" width="29.7109375" customWidth="1"/>
    <col min="2" max="2" width="18.85546875" customWidth="1"/>
    <col min="3" max="3" width="14.5703125" customWidth="1"/>
    <col min="4" max="4" width="22.5703125" customWidth="1"/>
    <col min="5" max="5" width="18.140625" customWidth="1"/>
    <col min="6" max="6" width="13.7109375" bestFit="1" customWidth="1"/>
    <col min="7" max="8" width="15" customWidth="1"/>
    <col min="9" max="9" width="10.5703125" bestFit="1" customWidth="1"/>
  </cols>
  <sheetData>
    <row r="1" spans="1:4" x14ac:dyDescent="0.25">
      <c r="A1" t="s">
        <v>222</v>
      </c>
    </row>
    <row r="2" spans="1:4" x14ac:dyDescent="0.25">
      <c r="A2" t="s">
        <v>223</v>
      </c>
    </row>
    <row r="3" spans="1:4" x14ac:dyDescent="0.25">
      <c r="A3" t="s">
        <v>224</v>
      </c>
    </row>
    <row r="4" spans="1:4" x14ac:dyDescent="0.25">
      <c r="A4" t="s">
        <v>225</v>
      </c>
    </row>
    <row r="5" spans="1:4" x14ac:dyDescent="0.25">
      <c r="A5" s="21">
        <f>400000/9217000</f>
        <v>4.3398068785939027E-2</v>
      </c>
    </row>
    <row r="6" spans="1:4" x14ac:dyDescent="0.25">
      <c r="A6" t="s">
        <v>226</v>
      </c>
    </row>
    <row r="7" spans="1:4" x14ac:dyDescent="0.25">
      <c r="B7">
        <v>1938</v>
      </c>
      <c r="C7">
        <v>1945</v>
      </c>
      <c r="D7">
        <v>1946</v>
      </c>
    </row>
    <row r="8" spans="1:4" x14ac:dyDescent="0.25">
      <c r="A8" t="s">
        <v>88</v>
      </c>
      <c r="B8" s="3">
        <v>2688</v>
      </c>
      <c r="C8" s="3">
        <v>658</v>
      </c>
      <c r="D8" s="3">
        <v>1127</v>
      </c>
    </row>
    <row r="9" spans="1:4" x14ac:dyDescent="0.25">
      <c r="A9" t="s">
        <v>96</v>
      </c>
      <c r="B9" s="3">
        <v>712</v>
      </c>
      <c r="C9" s="3">
        <v>304</v>
      </c>
      <c r="D9" s="3">
        <v>424</v>
      </c>
    </row>
    <row r="10" spans="1:4" x14ac:dyDescent="0.25">
      <c r="A10" t="s">
        <v>89</v>
      </c>
      <c r="B10" s="3">
        <v>628</v>
      </c>
      <c r="C10" s="3">
        <v>442</v>
      </c>
      <c r="D10" s="3">
        <v>441</v>
      </c>
    </row>
    <row r="11" spans="1:4" x14ac:dyDescent="0.25">
      <c r="A11" t="s">
        <v>97</v>
      </c>
      <c r="B11" s="3">
        <v>286</v>
      </c>
      <c r="C11" s="3">
        <v>171</v>
      </c>
      <c r="D11" s="3">
        <v>198</v>
      </c>
    </row>
    <row r="12" spans="1:4" x14ac:dyDescent="0.25">
      <c r="A12" t="s">
        <v>90</v>
      </c>
      <c r="B12" s="3">
        <v>2185</v>
      </c>
      <c r="C12" s="3">
        <v>1871</v>
      </c>
      <c r="D12" s="3">
        <v>1363</v>
      </c>
    </row>
    <row r="13" spans="1:4" x14ac:dyDescent="0.25">
      <c r="A13" t="s">
        <v>99</v>
      </c>
      <c r="B13" s="3">
        <v>1993</v>
      </c>
      <c r="C13" s="3">
        <v>1691</v>
      </c>
      <c r="D13" s="3">
        <v>1143</v>
      </c>
    </row>
    <row r="14" spans="1:4" x14ac:dyDescent="0.25">
      <c r="A14" t="s">
        <v>227</v>
      </c>
      <c r="B14" s="3">
        <v>964</v>
      </c>
      <c r="C14" s="3">
        <v>177</v>
      </c>
      <c r="D14" s="3">
        <v>516</v>
      </c>
    </row>
    <row r="15" spans="1:4" x14ac:dyDescent="0.25">
      <c r="A15" t="s">
        <v>102</v>
      </c>
      <c r="B15" s="3"/>
      <c r="C15" s="3">
        <v>127</v>
      </c>
      <c r="D15" s="3">
        <v>167</v>
      </c>
    </row>
    <row r="16" spans="1:4" x14ac:dyDescent="0.25">
      <c r="B16" s="3">
        <f>SUM(B8:B15)</f>
        <v>9456</v>
      </c>
      <c r="C16" s="3">
        <f>SUM(C8:C15)</f>
        <v>5441</v>
      </c>
      <c r="D16" s="3">
        <f>SUM(D8:D15)</f>
        <v>5379</v>
      </c>
    </row>
    <row r="17" spans="1:4" x14ac:dyDescent="0.25">
      <c r="A17" s="39" t="s">
        <v>228</v>
      </c>
      <c r="C17" t="s">
        <v>229</v>
      </c>
    </row>
    <row r="18" spans="1:4" x14ac:dyDescent="0.25">
      <c r="B18">
        <v>1938</v>
      </c>
      <c r="C18">
        <v>1945</v>
      </c>
      <c r="D18">
        <v>1946</v>
      </c>
    </row>
    <row r="19" spans="1:4" x14ac:dyDescent="0.25">
      <c r="A19" t="s">
        <v>88</v>
      </c>
      <c r="B19" s="3">
        <v>100</v>
      </c>
      <c r="C19" s="3">
        <v>24</v>
      </c>
      <c r="D19" s="3">
        <v>42</v>
      </c>
    </row>
    <row r="20" spans="1:4" x14ac:dyDescent="0.25">
      <c r="A20" t="s">
        <v>96</v>
      </c>
      <c r="B20" s="3">
        <v>100</v>
      </c>
      <c r="C20" s="3">
        <v>43</v>
      </c>
      <c r="D20" s="3">
        <v>59</v>
      </c>
    </row>
    <row r="21" spans="1:4" x14ac:dyDescent="0.25">
      <c r="A21" t="s">
        <v>89</v>
      </c>
      <c r="B21" s="3">
        <v>100</v>
      </c>
      <c r="C21" s="3">
        <v>70</v>
      </c>
      <c r="D21" s="3">
        <v>70</v>
      </c>
    </row>
    <row r="22" spans="1:4" x14ac:dyDescent="0.25">
      <c r="A22" t="s">
        <v>97</v>
      </c>
      <c r="B22" s="3">
        <v>100</v>
      </c>
      <c r="C22" s="3">
        <v>60</v>
      </c>
      <c r="D22" s="3">
        <v>69</v>
      </c>
    </row>
    <row r="23" spans="1:4" x14ac:dyDescent="0.25">
      <c r="A23" t="s">
        <v>90</v>
      </c>
      <c r="B23" s="3">
        <v>100</v>
      </c>
      <c r="C23" s="3">
        <v>86</v>
      </c>
      <c r="D23" s="3">
        <v>62</v>
      </c>
    </row>
    <row r="24" spans="1:4" x14ac:dyDescent="0.25">
      <c r="A24" t="s">
        <v>99</v>
      </c>
      <c r="B24" s="3">
        <v>100</v>
      </c>
      <c r="C24" s="3">
        <v>85</v>
      </c>
      <c r="D24" s="3">
        <v>57</v>
      </c>
    </row>
    <row r="25" spans="1:4" x14ac:dyDescent="0.25">
      <c r="A25" t="s">
        <v>227</v>
      </c>
      <c r="B25" s="3">
        <v>100</v>
      </c>
      <c r="C25" s="3">
        <v>18</v>
      </c>
      <c r="D25" s="3">
        <v>53</v>
      </c>
    </row>
    <row r="26" spans="1:4" x14ac:dyDescent="0.25">
      <c r="A26" t="s">
        <v>102</v>
      </c>
      <c r="B26" s="3">
        <v>100</v>
      </c>
      <c r="C26" s="3" t="s">
        <v>230</v>
      </c>
      <c r="D26" s="3" t="s">
        <v>230</v>
      </c>
    </row>
    <row r="32" spans="1:4" x14ac:dyDescent="0.25">
      <c r="A32" t="s">
        <v>231</v>
      </c>
    </row>
    <row r="33" spans="1:8" x14ac:dyDescent="0.25">
      <c r="A33" s="5"/>
      <c r="B33">
        <v>1938</v>
      </c>
      <c r="C33">
        <v>1945</v>
      </c>
      <c r="D33">
        <v>1946</v>
      </c>
    </row>
    <row r="34" spans="1:8" x14ac:dyDescent="0.25">
      <c r="A34" s="5" t="s">
        <v>138</v>
      </c>
      <c r="B34">
        <v>814</v>
      </c>
      <c r="C34">
        <v>369</v>
      </c>
      <c r="D34">
        <v>399</v>
      </c>
    </row>
    <row r="35" spans="1:8" x14ac:dyDescent="0.25">
      <c r="A35" s="5" t="s">
        <v>232</v>
      </c>
      <c r="B35">
        <v>1882</v>
      </c>
      <c r="C35">
        <v>1007</v>
      </c>
      <c r="D35">
        <v>1100</v>
      </c>
    </row>
    <row r="36" spans="1:8" x14ac:dyDescent="0.25">
      <c r="A36" s="5" t="s">
        <v>139</v>
      </c>
      <c r="B36">
        <v>3110</v>
      </c>
      <c r="C36">
        <v>1150</v>
      </c>
      <c r="D36">
        <v>1329</v>
      </c>
    </row>
    <row r="37" spans="1:8" x14ac:dyDescent="0.25">
      <c r="A37" s="5" t="s">
        <v>140</v>
      </c>
      <c r="B37">
        <v>1629</v>
      </c>
      <c r="C37">
        <v>296</v>
      </c>
      <c r="D37">
        <v>370</v>
      </c>
    </row>
    <row r="39" spans="1:8" x14ac:dyDescent="0.25">
      <c r="A39" s="5" t="s">
        <v>228</v>
      </c>
      <c r="B39">
        <v>1938</v>
      </c>
      <c r="C39">
        <v>1945</v>
      </c>
      <c r="D39">
        <v>1946</v>
      </c>
    </row>
    <row r="40" spans="1:8" x14ac:dyDescent="0.25">
      <c r="A40" s="5" t="s">
        <v>138</v>
      </c>
      <c r="B40">
        <v>100</v>
      </c>
      <c r="C40">
        <v>45</v>
      </c>
      <c r="D40">
        <v>49</v>
      </c>
    </row>
    <row r="41" spans="1:8" x14ac:dyDescent="0.25">
      <c r="A41" s="5" t="s">
        <v>232</v>
      </c>
      <c r="B41">
        <v>100</v>
      </c>
      <c r="C41">
        <v>53</v>
      </c>
      <c r="D41">
        <v>58</v>
      </c>
    </row>
    <row r="42" spans="1:8" x14ac:dyDescent="0.25">
      <c r="A42" s="5" t="s">
        <v>139</v>
      </c>
      <c r="B42">
        <v>100</v>
      </c>
      <c r="C42">
        <v>37</v>
      </c>
      <c r="D42">
        <v>43</v>
      </c>
    </row>
    <row r="43" spans="1:8" x14ac:dyDescent="0.25">
      <c r="A43" s="5" t="s">
        <v>140</v>
      </c>
      <c r="B43">
        <v>100</v>
      </c>
      <c r="C43">
        <v>18</v>
      </c>
      <c r="D43">
        <v>23</v>
      </c>
    </row>
    <row r="46" spans="1:8" x14ac:dyDescent="0.25">
      <c r="A46" s="79" t="s">
        <v>233</v>
      </c>
      <c r="B46" s="79"/>
      <c r="C46" s="79"/>
      <c r="D46" s="79"/>
      <c r="E46" s="79"/>
      <c r="F46" s="79"/>
      <c r="G46" s="79"/>
      <c r="H46" s="79"/>
    </row>
    <row r="47" spans="1:8" x14ac:dyDescent="0.25">
      <c r="A47" s="69" t="s">
        <v>234</v>
      </c>
      <c r="B47" s="69"/>
      <c r="C47" s="69"/>
      <c r="D47" s="69"/>
      <c r="E47" s="69"/>
      <c r="F47" s="69"/>
      <c r="G47" s="69"/>
      <c r="H47" s="69"/>
    </row>
    <row r="48" spans="1:8" x14ac:dyDescent="0.25">
      <c r="A48" s="69"/>
      <c r="B48" s="69"/>
      <c r="C48" s="79" t="s">
        <v>235</v>
      </c>
      <c r="D48" s="79"/>
      <c r="E48" s="69"/>
      <c r="F48" s="69"/>
      <c r="G48" s="69"/>
      <c r="H48" s="69"/>
    </row>
    <row r="49" spans="1:8" s="5" customFormat="1" ht="45" x14ac:dyDescent="0.25">
      <c r="B49" s="5" t="s">
        <v>236</v>
      </c>
      <c r="C49" s="5" t="s">
        <v>165</v>
      </c>
      <c r="D49" s="5" t="s">
        <v>237</v>
      </c>
      <c r="E49" s="5" t="s">
        <v>238</v>
      </c>
      <c r="H49" s="29"/>
    </row>
    <row r="50" spans="1:8" x14ac:dyDescent="0.25">
      <c r="A50" t="s">
        <v>239</v>
      </c>
      <c r="B50">
        <v>1750</v>
      </c>
      <c r="C50">
        <v>1925</v>
      </c>
      <c r="D50">
        <v>1230</v>
      </c>
      <c r="E50">
        <v>1426</v>
      </c>
      <c r="H50" s="29"/>
    </row>
    <row r="51" spans="1:8" x14ac:dyDescent="0.25">
      <c r="A51" t="s">
        <v>99</v>
      </c>
      <c r="B51">
        <v>1000</v>
      </c>
      <c r="C51">
        <v>1045</v>
      </c>
      <c r="D51">
        <v>1070</v>
      </c>
      <c r="E51">
        <v>513</v>
      </c>
      <c r="H51" s="29"/>
    </row>
    <row r="52" spans="1:8" x14ac:dyDescent="0.25">
      <c r="A52" t="s">
        <v>240</v>
      </c>
      <c r="B52">
        <v>65</v>
      </c>
      <c r="C52">
        <v>70</v>
      </c>
      <c r="D52">
        <v>69</v>
      </c>
      <c r="E52">
        <v>34</v>
      </c>
      <c r="H52" s="29"/>
    </row>
    <row r="53" spans="1:8" x14ac:dyDescent="0.25">
      <c r="A53" t="s">
        <v>241</v>
      </c>
      <c r="B53">
        <v>260</v>
      </c>
      <c r="C53">
        <v>141</v>
      </c>
      <c r="D53">
        <v>47</v>
      </c>
      <c r="E53">
        <v>85</v>
      </c>
      <c r="H53" s="29"/>
    </row>
    <row r="54" spans="1:8" x14ac:dyDescent="0.25">
      <c r="A54" t="s">
        <v>242</v>
      </c>
      <c r="B54">
        <v>600</v>
      </c>
      <c r="C54">
        <v>323</v>
      </c>
      <c r="D54">
        <v>71</v>
      </c>
      <c r="E54">
        <v>215</v>
      </c>
      <c r="H54" s="29"/>
    </row>
    <row r="55" spans="1:8" x14ac:dyDescent="0.25">
      <c r="A55" t="s">
        <v>243</v>
      </c>
      <c r="B55">
        <v>130</v>
      </c>
      <c r="C55">
        <v>52</v>
      </c>
      <c r="D55">
        <v>31</v>
      </c>
      <c r="E55">
        <v>41</v>
      </c>
      <c r="H55" s="29"/>
    </row>
    <row r="56" spans="1:8" x14ac:dyDescent="0.25">
      <c r="A56" t="s">
        <v>244</v>
      </c>
      <c r="B56">
        <v>2000</v>
      </c>
      <c r="C56">
        <v>1128</v>
      </c>
      <c r="D56">
        <v>445</v>
      </c>
      <c r="E56">
        <v>570</v>
      </c>
      <c r="H56" s="29"/>
    </row>
    <row r="57" spans="1:8" x14ac:dyDescent="0.25">
      <c r="A57" t="s">
        <v>245</v>
      </c>
      <c r="B57">
        <v>700</v>
      </c>
      <c r="C57">
        <v>422</v>
      </c>
      <c r="D57">
        <v>253</v>
      </c>
      <c r="E57">
        <v>376</v>
      </c>
      <c r="H57" s="29"/>
    </row>
    <row r="58" spans="1:8" x14ac:dyDescent="0.25">
      <c r="A58" t="s">
        <v>246</v>
      </c>
      <c r="B58">
        <v>800</v>
      </c>
      <c r="C58">
        <v>472</v>
      </c>
      <c r="D58">
        <v>372</v>
      </c>
      <c r="E58">
        <v>358</v>
      </c>
      <c r="H58" s="29"/>
    </row>
    <row r="59" spans="1:8" x14ac:dyDescent="0.25">
      <c r="A59" t="s">
        <v>247</v>
      </c>
      <c r="B59">
        <v>220</v>
      </c>
      <c r="C59">
        <v>125</v>
      </c>
      <c r="D59">
        <v>6</v>
      </c>
      <c r="E59">
        <v>61</v>
      </c>
      <c r="H59" s="22"/>
    </row>
    <row r="60" spans="1:8" ht="45" x14ac:dyDescent="0.25">
      <c r="A60" s="5" t="s">
        <v>248</v>
      </c>
      <c r="B60" s="5" t="s">
        <v>236</v>
      </c>
      <c r="C60" s="5" t="s">
        <v>165</v>
      </c>
      <c r="D60" s="5" t="s">
        <v>237</v>
      </c>
      <c r="E60" s="5" t="s">
        <v>238</v>
      </c>
    </row>
    <row r="61" spans="1:8" x14ac:dyDescent="0.25">
      <c r="A61" t="s">
        <v>239</v>
      </c>
      <c r="B61">
        <v>100</v>
      </c>
      <c r="C61">
        <v>110</v>
      </c>
      <c r="D61">
        <v>70.3</v>
      </c>
      <c r="E61">
        <v>81.400000000000006</v>
      </c>
    </row>
    <row r="62" spans="1:8" x14ac:dyDescent="0.25">
      <c r="A62" t="s">
        <v>99</v>
      </c>
      <c r="B62">
        <v>100</v>
      </c>
      <c r="C62">
        <v>104.5</v>
      </c>
      <c r="D62">
        <v>107</v>
      </c>
      <c r="E62">
        <v>51.3</v>
      </c>
    </row>
    <row r="63" spans="1:8" x14ac:dyDescent="0.25">
      <c r="A63" t="s">
        <v>240</v>
      </c>
      <c r="B63">
        <v>100</v>
      </c>
      <c r="C63">
        <v>107.7</v>
      </c>
      <c r="D63">
        <v>106.1</v>
      </c>
      <c r="E63">
        <v>52.3</v>
      </c>
    </row>
    <row r="64" spans="1:8" x14ac:dyDescent="0.25">
      <c r="A64" t="s">
        <v>241</v>
      </c>
      <c r="B64">
        <v>100</v>
      </c>
      <c r="C64">
        <v>54.2</v>
      </c>
      <c r="D64">
        <v>18.100000000000001</v>
      </c>
      <c r="E64">
        <v>32.700000000000003</v>
      </c>
    </row>
    <row r="65" spans="1:5" x14ac:dyDescent="0.25">
      <c r="A65" t="s">
        <v>242</v>
      </c>
      <c r="B65">
        <v>100</v>
      </c>
      <c r="C65">
        <v>53.8</v>
      </c>
      <c r="D65">
        <v>11.8</v>
      </c>
      <c r="E65">
        <v>35.799999999999997</v>
      </c>
    </row>
    <row r="66" spans="1:5" x14ac:dyDescent="0.25">
      <c r="A66" t="s">
        <v>243</v>
      </c>
      <c r="B66">
        <v>100</v>
      </c>
      <c r="C66">
        <v>40</v>
      </c>
      <c r="D66">
        <v>23.8</v>
      </c>
      <c r="E66">
        <v>31.5</v>
      </c>
    </row>
    <row r="67" spans="1:5" x14ac:dyDescent="0.25">
      <c r="A67" t="s">
        <v>244</v>
      </c>
      <c r="B67">
        <v>100</v>
      </c>
      <c r="C67">
        <v>56.4</v>
      </c>
      <c r="D67">
        <v>22.2</v>
      </c>
      <c r="E67">
        <v>28.5</v>
      </c>
    </row>
    <row r="68" spans="1:5" x14ac:dyDescent="0.25">
      <c r="A68" t="s">
        <v>245</v>
      </c>
      <c r="B68">
        <v>100</v>
      </c>
      <c r="C68">
        <v>60.3</v>
      </c>
      <c r="D68">
        <v>36.1</v>
      </c>
      <c r="E68">
        <v>53.7</v>
      </c>
    </row>
    <row r="69" spans="1:5" x14ac:dyDescent="0.25">
      <c r="A69" t="s">
        <v>246</v>
      </c>
      <c r="B69">
        <v>100</v>
      </c>
      <c r="C69">
        <v>59</v>
      </c>
      <c r="D69">
        <v>46.5</v>
      </c>
      <c r="E69">
        <v>44.7</v>
      </c>
    </row>
    <row r="70" spans="1:5" x14ac:dyDescent="0.25">
      <c r="A70" t="s">
        <v>247</v>
      </c>
      <c r="B70">
        <v>100</v>
      </c>
      <c r="C70">
        <v>56.8</v>
      </c>
      <c r="D70">
        <v>2.7</v>
      </c>
      <c r="E70">
        <v>27.7</v>
      </c>
    </row>
    <row r="73" spans="1:5" ht="45" x14ac:dyDescent="0.25">
      <c r="A73" s="5" t="s">
        <v>249</v>
      </c>
      <c r="B73" s="5" t="s">
        <v>165</v>
      </c>
      <c r="C73" s="5" t="s">
        <v>236</v>
      </c>
      <c r="D73" s="5" t="s">
        <v>237</v>
      </c>
      <c r="E73" s="5" t="s">
        <v>238</v>
      </c>
    </row>
    <row r="74" spans="1:5" x14ac:dyDescent="0.25">
      <c r="A74" t="s">
        <v>239</v>
      </c>
      <c r="B74">
        <v>100</v>
      </c>
      <c r="C74">
        <v>90.9</v>
      </c>
      <c r="D74">
        <v>63.8</v>
      </c>
      <c r="E74">
        <v>74</v>
      </c>
    </row>
    <row r="75" spans="1:5" x14ac:dyDescent="0.25">
      <c r="A75" t="s">
        <v>99</v>
      </c>
      <c r="B75">
        <v>100</v>
      </c>
      <c r="C75">
        <v>95.7</v>
      </c>
      <c r="D75">
        <v>102.4</v>
      </c>
      <c r="E75">
        <v>49.1</v>
      </c>
    </row>
    <row r="76" spans="1:5" x14ac:dyDescent="0.25">
      <c r="A76" t="s">
        <v>240</v>
      </c>
      <c r="B76">
        <v>100</v>
      </c>
      <c r="C76">
        <v>92.8</v>
      </c>
      <c r="D76">
        <v>98.5</v>
      </c>
      <c r="E76">
        <v>48.6</v>
      </c>
    </row>
    <row r="77" spans="1:5" x14ac:dyDescent="0.25">
      <c r="A77" t="s">
        <v>241</v>
      </c>
      <c r="B77">
        <v>100</v>
      </c>
      <c r="C77">
        <v>184.4</v>
      </c>
      <c r="D77">
        <v>33.299999999999997</v>
      </c>
      <c r="E77">
        <v>60.3</v>
      </c>
    </row>
    <row r="78" spans="1:5" x14ac:dyDescent="0.25">
      <c r="A78" t="s">
        <v>242</v>
      </c>
      <c r="B78">
        <v>100</v>
      </c>
      <c r="C78">
        <v>185.7</v>
      </c>
      <c r="D78">
        <v>22</v>
      </c>
      <c r="E78">
        <v>66.599999999999994</v>
      </c>
    </row>
    <row r="79" spans="1:5" x14ac:dyDescent="0.25">
      <c r="A79" t="s">
        <v>243</v>
      </c>
      <c r="B79">
        <v>100</v>
      </c>
      <c r="C79">
        <v>250</v>
      </c>
      <c r="D79">
        <v>59.6</v>
      </c>
      <c r="E79">
        <v>78.8</v>
      </c>
    </row>
    <row r="80" spans="1:5" x14ac:dyDescent="0.25">
      <c r="A80" t="s">
        <v>244</v>
      </c>
      <c r="B80">
        <v>100</v>
      </c>
      <c r="C80">
        <v>177.3</v>
      </c>
      <c r="D80">
        <v>39.4</v>
      </c>
      <c r="E80">
        <v>50.5</v>
      </c>
    </row>
    <row r="81" spans="1:5" x14ac:dyDescent="0.25">
      <c r="A81" t="s">
        <v>245</v>
      </c>
      <c r="B81">
        <v>100</v>
      </c>
      <c r="C81">
        <v>165.9</v>
      </c>
      <c r="D81">
        <v>59.9</v>
      </c>
      <c r="E81">
        <v>89.1</v>
      </c>
    </row>
    <row r="82" spans="1:5" x14ac:dyDescent="0.25">
      <c r="A82" t="s">
        <v>246</v>
      </c>
      <c r="B82">
        <v>100</v>
      </c>
      <c r="C82">
        <v>169.5</v>
      </c>
      <c r="D82">
        <v>78.8</v>
      </c>
      <c r="E82">
        <v>75.8</v>
      </c>
    </row>
    <row r="83" spans="1:5" x14ac:dyDescent="0.25">
      <c r="A83" t="s">
        <v>247</v>
      </c>
      <c r="B83">
        <v>100</v>
      </c>
      <c r="C83">
        <v>176</v>
      </c>
      <c r="D83">
        <v>4.8</v>
      </c>
      <c r="E83">
        <v>48.8</v>
      </c>
    </row>
    <row r="91" spans="1:5" x14ac:dyDescent="0.25">
      <c r="A91" t="s">
        <v>250</v>
      </c>
    </row>
    <row r="92" spans="1:5" ht="21.75" customHeight="1" x14ac:dyDescent="0.25">
      <c r="A92" s="80" t="s">
        <v>251</v>
      </c>
      <c r="B92" s="80"/>
      <c r="C92" s="80"/>
      <c r="D92" s="80"/>
      <c r="E92" s="5"/>
    </row>
    <row r="93" spans="1:5" ht="18.75" customHeight="1" x14ac:dyDescent="0.25">
      <c r="A93" s="80" t="s">
        <v>252</v>
      </c>
      <c r="B93" s="80"/>
      <c r="C93" s="80"/>
      <c r="D93" s="80"/>
      <c r="E93" s="5"/>
    </row>
    <row r="94" spans="1:5" ht="30.75" customHeight="1" x14ac:dyDescent="0.25">
      <c r="B94" s="5" t="s">
        <v>253</v>
      </c>
      <c r="C94" s="5" t="s">
        <v>254</v>
      </c>
      <c r="D94" s="5" t="s">
        <v>255</v>
      </c>
      <c r="E94" s="5"/>
    </row>
    <row r="95" spans="1:5" x14ac:dyDescent="0.25">
      <c r="A95" s="5" t="s">
        <v>256</v>
      </c>
      <c r="B95" s="40">
        <v>54590</v>
      </c>
      <c r="C95" s="40">
        <v>21951</v>
      </c>
      <c r="D95" s="62">
        <v>40.200000000000003</v>
      </c>
    </row>
    <row r="96" spans="1:5" x14ac:dyDescent="0.25">
      <c r="A96" t="s">
        <v>117</v>
      </c>
      <c r="B96" s="40">
        <v>17212</v>
      </c>
      <c r="C96" s="40">
        <v>3683</v>
      </c>
      <c r="D96" s="62">
        <v>21.4</v>
      </c>
    </row>
    <row r="97" spans="1:7" x14ac:dyDescent="0.25">
      <c r="A97" t="s">
        <v>257</v>
      </c>
      <c r="B97" s="40">
        <v>1522</v>
      </c>
      <c r="C97" s="40">
        <v>1507</v>
      </c>
      <c r="D97" s="62">
        <v>99</v>
      </c>
    </row>
    <row r="98" spans="1:7" x14ac:dyDescent="0.25">
      <c r="A98" t="s">
        <v>258</v>
      </c>
      <c r="B98" s="40">
        <v>1802</v>
      </c>
      <c r="C98" s="40">
        <v>65</v>
      </c>
      <c r="D98" s="62">
        <v>3.5999999999999996</v>
      </c>
    </row>
    <row r="99" spans="1:7" x14ac:dyDescent="0.25">
      <c r="A99" t="s">
        <v>259</v>
      </c>
      <c r="B99" s="40">
        <v>3774</v>
      </c>
      <c r="C99" s="40">
        <v>2042</v>
      </c>
      <c r="D99" s="62">
        <v>54.1</v>
      </c>
    </row>
    <row r="100" spans="1:7" x14ac:dyDescent="0.25">
      <c r="A100" t="s">
        <v>260</v>
      </c>
      <c r="B100" s="40">
        <v>6256</v>
      </c>
      <c r="C100" s="40">
        <v>3690</v>
      </c>
      <c r="D100" s="62">
        <v>59</v>
      </c>
    </row>
    <row r="101" spans="1:7" x14ac:dyDescent="0.25">
      <c r="A101" t="s">
        <v>261</v>
      </c>
      <c r="B101" s="40">
        <v>10298</v>
      </c>
      <c r="C101" s="40">
        <v>1854</v>
      </c>
      <c r="D101" s="63">
        <v>18</v>
      </c>
      <c r="F101" s="24"/>
      <c r="G101" s="24"/>
    </row>
    <row r="102" spans="1:7" x14ac:dyDescent="0.25">
      <c r="A102" s="28" t="s">
        <v>123</v>
      </c>
      <c r="B102" s="41">
        <v>15278</v>
      </c>
      <c r="C102" s="42">
        <f>SUM(C104:C109)</f>
        <v>10617</v>
      </c>
      <c r="D102" s="64">
        <f>100*C102/B102</f>
        <v>69.49208011519832</v>
      </c>
      <c r="F102" s="24"/>
    </row>
    <row r="103" spans="1:7" ht="75" x14ac:dyDescent="0.25">
      <c r="A103" s="5" t="s">
        <v>262</v>
      </c>
      <c r="B103" s="41" t="s">
        <v>263</v>
      </c>
      <c r="C103" s="42"/>
      <c r="D103" s="30"/>
    </row>
    <row r="104" spans="1:7" ht="15" customHeight="1" x14ac:dyDescent="0.25">
      <c r="A104" s="31" t="s">
        <v>170</v>
      </c>
      <c r="C104" s="23">
        <v>940</v>
      </c>
      <c r="D104" s="61">
        <f>D95*100</f>
        <v>4020.0000000000005</v>
      </c>
    </row>
    <row r="105" spans="1:7" x14ac:dyDescent="0.25">
      <c r="A105" s="31" t="s">
        <v>264</v>
      </c>
      <c r="C105" s="23">
        <v>1365</v>
      </c>
      <c r="D105" s="61">
        <f t="shared" ref="D105:D109" si="0">D96*100</f>
        <v>2140</v>
      </c>
    </row>
    <row r="106" spans="1:7" x14ac:dyDescent="0.25">
      <c r="A106" s="31" t="s">
        <v>265</v>
      </c>
      <c r="C106" s="23">
        <v>987</v>
      </c>
      <c r="D106" s="61">
        <f t="shared" si="0"/>
        <v>9900</v>
      </c>
    </row>
    <row r="107" spans="1:7" x14ac:dyDescent="0.25">
      <c r="A107" t="s">
        <v>266</v>
      </c>
      <c r="C107" s="23">
        <v>5248</v>
      </c>
      <c r="D107" s="61">
        <f t="shared" si="0"/>
        <v>359.99999999999994</v>
      </c>
    </row>
    <row r="108" spans="1:7" ht="15" customHeight="1" x14ac:dyDescent="0.25">
      <c r="A108" t="s">
        <v>267</v>
      </c>
      <c r="C108" s="23">
        <v>407</v>
      </c>
      <c r="D108" s="61">
        <f t="shared" si="0"/>
        <v>5410</v>
      </c>
    </row>
    <row r="109" spans="1:7" x14ac:dyDescent="0.25">
      <c r="A109" t="s">
        <v>268</v>
      </c>
      <c r="C109" s="23">
        <v>1670</v>
      </c>
      <c r="D109" s="61">
        <f t="shared" si="0"/>
        <v>5900</v>
      </c>
    </row>
    <row r="110" spans="1:7" x14ac:dyDescent="0.25">
      <c r="A110" s="31"/>
    </row>
    <row r="111" spans="1:7" x14ac:dyDescent="0.25">
      <c r="A111" t="s">
        <v>269</v>
      </c>
    </row>
    <row r="112" spans="1:7" x14ac:dyDescent="0.25">
      <c r="A112" t="s">
        <v>270</v>
      </c>
    </row>
    <row r="113" spans="1:5" x14ac:dyDescent="0.25">
      <c r="A113" t="s">
        <v>271</v>
      </c>
    </row>
    <row r="119" spans="1:5" x14ac:dyDescent="0.25">
      <c r="A119" t="s">
        <v>272</v>
      </c>
    </row>
    <row r="120" spans="1:5" x14ac:dyDescent="0.25">
      <c r="B120" t="s">
        <v>165</v>
      </c>
      <c r="C120" t="s">
        <v>273</v>
      </c>
      <c r="D120" t="s">
        <v>166</v>
      </c>
      <c r="E120" t="s">
        <v>167</v>
      </c>
    </row>
    <row r="121" spans="1:5" x14ac:dyDescent="0.25">
      <c r="A121" t="s">
        <v>274</v>
      </c>
      <c r="B121">
        <v>5192</v>
      </c>
      <c r="C121">
        <v>5214</v>
      </c>
      <c r="D121">
        <v>2541</v>
      </c>
      <c r="E121">
        <v>3137</v>
      </c>
    </row>
    <row r="122" spans="1:5" x14ac:dyDescent="0.25">
      <c r="A122" t="s">
        <v>117</v>
      </c>
      <c r="B122">
        <v>1745</v>
      </c>
      <c r="C122">
        <v>1321</v>
      </c>
      <c r="D122">
        <v>755</v>
      </c>
      <c r="E122">
        <v>928</v>
      </c>
    </row>
    <row r="123" spans="1:5" x14ac:dyDescent="0.25">
      <c r="A123" t="s">
        <v>118</v>
      </c>
      <c r="B123">
        <v>106</v>
      </c>
      <c r="C123">
        <v>187</v>
      </c>
      <c r="D123">
        <v>52</v>
      </c>
      <c r="E123">
        <v>84</v>
      </c>
    </row>
    <row r="124" spans="1:5" x14ac:dyDescent="0.25">
      <c r="A124" t="s">
        <v>259</v>
      </c>
      <c r="B124">
        <v>1242</v>
      </c>
      <c r="C124">
        <v>1580</v>
      </c>
      <c r="D124">
        <v>497</v>
      </c>
      <c r="E124">
        <v>720</v>
      </c>
    </row>
    <row r="125" spans="1:5" x14ac:dyDescent="0.25">
      <c r="A125" t="s">
        <v>170</v>
      </c>
      <c r="B125">
        <v>598</v>
      </c>
      <c r="C125">
        <v>571</v>
      </c>
      <c r="D125">
        <v>359</v>
      </c>
      <c r="E125">
        <v>395</v>
      </c>
    </row>
    <row r="126" spans="1:5" x14ac:dyDescent="0.25">
      <c r="A126" t="s">
        <v>264</v>
      </c>
      <c r="B126">
        <v>463</v>
      </c>
      <c r="C126">
        <v>459</v>
      </c>
      <c r="D126">
        <v>185</v>
      </c>
      <c r="E126">
        <v>241</v>
      </c>
    </row>
    <row r="127" spans="1:5" x14ac:dyDescent="0.25">
      <c r="A127" t="s">
        <v>275</v>
      </c>
      <c r="B127">
        <v>451</v>
      </c>
      <c r="C127">
        <v>475</v>
      </c>
      <c r="D127">
        <v>406</v>
      </c>
      <c r="E127">
        <v>414</v>
      </c>
    </row>
    <row r="128" spans="1:5" x14ac:dyDescent="0.25">
      <c r="A128" t="s">
        <v>276</v>
      </c>
      <c r="B128">
        <v>587</v>
      </c>
      <c r="C128">
        <v>621</v>
      </c>
      <c r="D128">
        <v>287</v>
      </c>
      <c r="E128">
        <v>355</v>
      </c>
    </row>
    <row r="129" spans="1:5" x14ac:dyDescent="0.25">
      <c r="A129" t="s">
        <v>277</v>
      </c>
      <c r="B129">
        <v>3691</v>
      </c>
      <c r="C129">
        <v>3659</v>
      </c>
      <c r="D129">
        <v>1663</v>
      </c>
      <c r="E129">
        <v>2127</v>
      </c>
    </row>
    <row r="131" spans="1:5" x14ac:dyDescent="0.25">
      <c r="A131" t="s">
        <v>278</v>
      </c>
      <c r="B131" t="s">
        <v>165</v>
      </c>
      <c r="C131" t="s">
        <v>273</v>
      </c>
      <c r="D131" t="s">
        <v>166</v>
      </c>
      <c r="E131" t="s">
        <v>167</v>
      </c>
    </row>
    <row r="132" spans="1:5" x14ac:dyDescent="0.25">
      <c r="A132" t="s">
        <v>274</v>
      </c>
      <c r="B132">
        <v>100</v>
      </c>
      <c r="C132">
        <v>100.4</v>
      </c>
      <c r="D132">
        <v>48.9</v>
      </c>
      <c r="E132">
        <v>60.4</v>
      </c>
    </row>
    <row r="133" spans="1:5" x14ac:dyDescent="0.25">
      <c r="A133" t="s">
        <v>117</v>
      </c>
      <c r="B133">
        <v>100</v>
      </c>
      <c r="C133">
        <v>75.400000000000006</v>
      </c>
      <c r="D133">
        <v>43.3</v>
      </c>
      <c r="E133">
        <v>53.2</v>
      </c>
    </row>
    <row r="134" spans="1:5" x14ac:dyDescent="0.25">
      <c r="A134" t="s">
        <v>118</v>
      </c>
      <c r="B134">
        <v>100</v>
      </c>
      <c r="C134">
        <v>176.4</v>
      </c>
      <c r="D134">
        <v>49.1</v>
      </c>
      <c r="E134">
        <v>79.2</v>
      </c>
    </row>
    <row r="135" spans="1:5" x14ac:dyDescent="0.25">
      <c r="A135" t="s">
        <v>259</v>
      </c>
      <c r="B135">
        <v>100</v>
      </c>
      <c r="C135">
        <v>127.2</v>
      </c>
      <c r="D135">
        <v>40</v>
      </c>
      <c r="E135">
        <v>58</v>
      </c>
    </row>
    <row r="136" spans="1:5" x14ac:dyDescent="0.25">
      <c r="A136" t="s">
        <v>170</v>
      </c>
      <c r="B136">
        <v>100</v>
      </c>
      <c r="C136">
        <v>95.5</v>
      </c>
      <c r="D136">
        <v>60</v>
      </c>
      <c r="E136">
        <v>66</v>
      </c>
    </row>
    <row r="137" spans="1:5" x14ac:dyDescent="0.25">
      <c r="A137" t="s">
        <v>264</v>
      </c>
      <c r="B137">
        <v>100</v>
      </c>
      <c r="C137">
        <v>99.1</v>
      </c>
      <c r="D137">
        <v>40</v>
      </c>
      <c r="E137">
        <v>52</v>
      </c>
    </row>
    <row r="138" spans="1:5" x14ac:dyDescent="0.25">
      <c r="A138" t="s">
        <v>275</v>
      </c>
      <c r="B138">
        <v>100</v>
      </c>
      <c r="C138">
        <v>105.3</v>
      </c>
      <c r="D138">
        <v>90</v>
      </c>
      <c r="E138">
        <v>91.8</v>
      </c>
    </row>
    <row r="139" spans="1:5" x14ac:dyDescent="0.25">
      <c r="A139" t="s">
        <v>276</v>
      </c>
      <c r="B139">
        <v>100</v>
      </c>
      <c r="C139">
        <v>105.8</v>
      </c>
      <c r="D139">
        <v>48.9</v>
      </c>
      <c r="E139">
        <v>60.5</v>
      </c>
    </row>
    <row r="140" spans="1:5" x14ac:dyDescent="0.25">
      <c r="A140" t="s">
        <v>277</v>
      </c>
      <c r="B140">
        <v>100</v>
      </c>
      <c r="C140">
        <v>99.1</v>
      </c>
      <c r="D140">
        <v>45</v>
      </c>
      <c r="E140">
        <v>57.6</v>
      </c>
    </row>
    <row r="144" spans="1:5" x14ac:dyDescent="0.25">
      <c r="A144" t="s">
        <v>279</v>
      </c>
    </row>
    <row r="145" spans="1:2" x14ac:dyDescent="0.25">
      <c r="A145" s="45" t="s">
        <v>280</v>
      </c>
    </row>
    <row r="146" spans="1:2" x14ac:dyDescent="0.25">
      <c r="A146" s="45" t="s">
        <v>281</v>
      </c>
    </row>
    <row r="147" spans="1:2" x14ac:dyDescent="0.25">
      <c r="A147" s="43">
        <v>1938</v>
      </c>
      <c r="B147" s="44">
        <v>2655.4006165059391</v>
      </c>
    </row>
    <row r="148" spans="1:2" x14ac:dyDescent="0.25">
      <c r="A148" s="43">
        <v>1939</v>
      </c>
      <c r="B148" s="44">
        <v>2837.7759939838597</v>
      </c>
    </row>
    <row r="149" spans="1:2" x14ac:dyDescent="0.25">
      <c r="A149" s="43">
        <v>1940</v>
      </c>
      <c r="B149" s="44">
        <v>2626.4024399545169</v>
      </c>
    </row>
    <row r="150" spans="1:2" x14ac:dyDescent="0.25">
      <c r="A150" s="43">
        <v>1941</v>
      </c>
      <c r="B150" s="44">
        <v>2626.2227616545979</v>
      </c>
    </row>
    <row r="151" spans="1:2" x14ac:dyDescent="0.25">
      <c r="A151" s="43">
        <v>1942</v>
      </c>
      <c r="B151" s="44">
        <v>2742.9731474661498</v>
      </c>
    </row>
    <row r="152" spans="1:2" x14ac:dyDescent="0.25">
      <c r="A152" s="43">
        <v>1943</v>
      </c>
      <c r="B152" s="44"/>
    </row>
    <row r="153" spans="1:2" x14ac:dyDescent="0.25">
      <c r="A153" s="43">
        <v>1944</v>
      </c>
      <c r="B153" s="44"/>
    </row>
    <row r="154" spans="1:2" x14ac:dyDescent="0.25">
      <c r="A154" s="43">
        <v>1945</v>
      </c>
      <c r="B154" s="44"/>
    </row>
    <row r="155" spans="1:2" x14ac:dyDescent="0.25">
      <c r="A155" s="43">
        <v>1946</v>
      </c>
      <c r="B155" s="44">
        <v>1720.7675255062268</v>
      </c>
    </row>
    <row r="156" spans="1:2" x14ac:dyDescent="0.25">
      <c r="A156" s="43">
        <v>1947</v>
      </c>
      <c r="B156" s="44">
        <v>1773.5369597369215</v>
      </c>
    </row>
    <row r="157" spans="1:2" x14ac:dyDescent="0.25">
      <c r="A157" s="43">
        <v>1948</v>
      </c>
      <c r="B157" s="44">
        <v>2200.0422299584238</v>
      </c>
    </row>
  </sheetData>
  <mergeCells count="4">
    <mergeCell ref="A46:H46"/>
    <mergeCell ref="C48:D48"/>
    <mergeCell ref="A92:D92"/>
    <mergeCell ref="A93:D93"/>
  </mergeCells>
  <pageMargins left="0.7" right="0.7" top="0.75" bottom="0.75" header="0.3" footer="0.3"/>
  <pageSetup orientation="portrait" horizontalDpi="200" verticalDpi="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07"/>
  <sheetViews>
    <sheetView zoomScale="80" zoomScaleNormal="80" workbookViewId="0"/>
  </sheetViews>
  <sheetFormatPr defaultRowHeight="15" x14ac:dyDescent="0.25"/>
  <cols>
    <col min="1" max="1" width="22.5703125" customWidth="1"/>
    <col min="2" max="2" width="26.28515625" customWidth="1"/>
    <col min="3" max="3" width="13.42578125" customWidth="1"/>
    <col min="4" max="4" width="14" customWidth="1"/>
    <col min="5" max="5" width="17.7109375" style="25" customWidth="1"/>
    <col min="6" max="6" width="18.5703125" customWidth="1"/>
    <col min="7" max="7" width="19.28515625" customWidth="1"/>
    <col min="8" max="8" width="25.7109375" customWidth="1"/>
    <col min="9" max="9" width="23.42578125" customWidth="1"/>
    <col min="10" max="10" width="17.28515625" customWidth="1"/>
    <col min="11" max="11" width="17.5703125" customWidth="1"/>
    <col min="12" max="12" width="13.7109375" customWidth="1"/>
    <col min="13" max="13" width="14.28515625" customWidth="1"/>
    <col min="14" max="14" width="23.7109375" customWidth="1"/>
    <col min="15" max="15" width="14" customWidth="1"/>
    <col min="16" max="16" width="13.7109375" customWidth="1"/>
    <col min="17" max="17" width="14.140625" customWidth="1"/>
    <col min="18" max="18" width="17.42578125" customWidth="1"/>
    <col min="19" max="19" width="13.85546875" customWidth="1"/>
    <col min="20" max="20" width="14.28515625" customWidth="1"/>
  </cols>
  <sheetData>
    <row r="1" spans="1:14" x14ac:dyDescent="0.25">
      <c r="A1" t="s">
        <v>282</v>
      </c>
      <c r="G1" t="s">
        <v>283</v>
      </c>
    </row>
    <row r="2" spans="1:14" x14ac:dyDescent="0.25">
      <c r="A2" t="s">
        <v>284</v>
      </c>
      <c r="G2" t="s">
        <v>285</v>
      </c>
      <c r="L2" s="80" t="s">
        <v>286</v>
      </c>
      <c r="M2" s="80"/>
      <c r="N2" s="80"/>
    </row>
    <row r="3" spans="1:14" x14ac:dyDescent="0.25">
      <c r="B3" t="s">
        <v>287</v>
      </c>
      <c r="C3" t="s">
        <v>288</v>
      </c>
      <c r="H3" s="7">
        <v>14032</v>
      </c>
      <c r="I3" s="7">
        <v>16041</v>
      </c>
      <c r="J3" s="7">
        <v>16772</v>
      </c>
      <c r="K3" s="7">
        <v>17137</v>
      </c>
      <c r="L3" s="80"/>
      <c r="M3" s="80"/>
      <c r="N3" s="80"/>
    </row>
    <row r="4" spans="1:14" x14ac:dyDescent="0.25">
      <c r="A4">
        <v>1937</v>
      </c>
      <c r="B4">
        <v>100</v>
      </c>
      <c r="C4">
        <v>100</v>
      </c>
      <c r="G4" s="3" t="s">
        <v>289</v>
      </c>
      <c r="H4" s="3">
        <v>1813</v>
      </c>
      <c r="I4" s="3">
        <v>2657</v>
      </c>
      <c r="J4" s="3">
        <f>717+1083</f>
        <v>1800</v>
      </c>
      <c r="K4" s="3">
        <f>1002+719</f>
        <v>1721</v>
      </c>
      <c r="L4" s="80"/>
      <c r="M4" s="80"/>
      <c r="N4" s="80"/>
    </row>
    <row r="5" spans="1:14" x14ac:dyDescent="0.25">
      <c r="A5">
        <v>1938</v>
      </c>
      <c r="B5">
        <v>101</v>
      </c>
      <c r="C5">
        <v>102</v>
      </c>
      <c r="G5" s="3" t="s">
        <v>290</v>
      </c>
      <c r="H5" s="3">
        <v>33</v>
      </c>
      <c r="I5" s="3">
        <v>37</v>
      </c>
      <c r="J5" s="3">
        <f>35</f>
        <v>35</v>
      </c>
      <c r="K5" s="3">
        <f>36</f>
        <v>36</v>
      </c>
      <c r="L5" s="80"/>
      <c r="M5" s="80"/>
      <c r="N5" s="80"/>
    </row>
    <row r="6" spans="1:14" x14ac:dyDescent="0.25">
      <c r="A6">
        <v>1939</v>
      </c>
      <c r="B6">
        <v>99</v>
      </c>
      <c r="C6">
        <v>99</v>
      </c>
      <c r="G6" s="3" t="s">
        <v>291</v>
      </c>
      <c r="H6" s="3">
        <v>145</v>
      </c>
      <c r="I6" s="3">
        <v>198</v>
      </c>
      <c r="J6" s="3">
        <f>112+52</f>
        <v>164</v>
      </c>
      <c r="K6" s="3">
        <f>103+25</f>
        <v>128</v>
      </c>
    </row>
    <row r="7" spans="1:14" x14ac:dyDescent="0.25">
      <c r="A7">
        <v>1940</v>
      </c>
      <c r="B7">
        <v>107</v>
      </c>
      <c r="C7">
        <v>112</v>
      </c>
      <c r="G7" s="3" t="s">
        <v>292</v>
      </c>
      <c r="H7" s="3">
        <v>3645</v>
      </c>
      <c r="I7" s="3">
        <v>4967</v>
      </c>
      <c r="J7" s="3">
        <f>1017+1837</f>
        <v>2854</v>
      </c>
      <c r="K7" s="3">
        <f>1376+1657</f>
        <v>3033</v>
      </c>
    </row>
    <row r="8" spans="1:14" x14ac:dyDescent="0.25">
      <c r="A8">
        <v>1941</v>
      </c>
      <c r="B8">
        <v>127</v>
      </c>
      <c r="C8">
        <v>141</v>
      </c>
      <c r="G8" s="3" t="s">
        <v>293</v>
      </c>
      <c r="H8" s="3">
        <v>40111</v>
      </c>
      <c r="I8" s="3">
        <v>58509</v>
      </c>
      <c r="J8" s="3">
        <f>8962+54166</f>
        <v>63128</v>
      </c>
      <c r="K8" s="3">
        <f>11712+45713</f>
        <v>57425</v>
      </c>
    </row>
    <row r="9" spans="1:14" x14ac:dyDescent="0.25">
      <c r="A9">
        <v>1942</v>
      </c>
      <c r="B9">
        <v>148</v>
      </c>
      <c r="C9">
        <v>163</v>
      </c>
    </row>
    <row r="10" spans="1:14" x14ac:dyDescent="0.25">
      <c r="A10">
        <v>1943</v>
      </c>
      <c r="B10">
        <v>177</v>
      </c>
      <c r="C10">
        <v>205</v>
      </c>
      <c r="G10" t="s">
        <v>294</v>
      </c>
    </row>
    <row r="11" spans="1:14" x14ac:dyDescent="0.25">
      <c r="A11">
        <v>1944</v>
      </c>
      <c r="B11">
        <v>219</v>
      </c>
      <c r="C11">
        <v>243</v>
      </c>
      <c r="K11" t="s">
        <v>295</v>
      </c>
      <c r="M11" t="s">
        <v>296</v>
      </c>
    </row>
    <row r="12" spans="1:14" ht="45" x14ac:dyDescent="0.25">
      <c r="A12">
        <v>1945</v>
      </c>
      <c r="G12" t="s">
        <v>297</v>
      </c>
      <c r="H12" s="7">
        <v>14032</v>
      </c>
      <c r="I12" s="5" t="s">
        <v>298</v>
      </c>
      <c r="J12" t="s">
        <v>299</v>
      </c>
      <c r="K12" s="5" t="s">
        <v>300</v>
      </c>
      <c r="L12" s="5" t="s">
        <v>301</v>
      </c>
      <c r="M12" s="5" t="s">
        <v>300</v>
      </c>
      <c r="N12" s="5" t="s">
        <v>301</v>
      </c>
    </row>
    <row r="13" spans="1:14" ht="30" x14ac:dyDescent="0.25">
      <c r="A13">
        <v>1946</v>
      </c>
      <c r="G13" s="5" t="s">
        <v>302</v>
      </c>
      <c r="H13">
        <v>11488</v>
      </c>
      <c r="I13">
        <v>11656</v>
      </c>
      <c r="J13">
        <v>4146</v>
      </c>
      <c r="K13">
        <v>10240</v>
      </c>
      <c r="M13">
        <v>10662</v>
      </c>
    </row>
    <row r="14" spans="1:14" ht="30" x14ac:dyDescent="0.25">
      <c r="A14" s="7">
        <v>16528</v>
      </c>
      <c r="B14">
        <v>5823</v>
      </c>
      <c r="C14">
        <v>12691</v>
      </c>
      <c r="G14" s="66" t="s">
        <v>303</v>
      </c>
      <c r="H14">
        <v>13784</v>
      </c>
      <c r="I14">
        <v>13784</v>
      </c>
      <c r="J14">
        <v>5330</v>
      </c>
      <c r="K14">
        <v>12267</v>
      </c>
      <c r="M14">
        <v>12842</v>
      </c>
    </row>
    <row r="15" spans="1:14" ht="30" x14ac:dyDescent="0.25">
      <c r="A15" s="7">
        <v>16558</v>
      </c>
      <c r="B15">
        <v>5829</v>
      </c>
      <c r="C15">
        <v>11697</v>
      </c>
      <c r="G15" s="66" t="s">
        <v>304</v>
      </c>
      <c r="H15">
        <v>3571</v>
      </c>
      <c r="I15">
        <v>3571</v>
      </c>
      <c r="J15">
        <v>300</v>
      </c>
      <c r="K15">
        <v>3405</v>
      </c>
      <c r="M15">
        <v>3512</v>
      </c>
    </row>
    <row r="16" spans="1:14" x14ac:dyDescent="0.25">
      <c r="A16" s="7">
        <v>16589</v>
      </c>
      <c r="B16">
        <v>5833</v>
      </c>
      <c r="C16">
        <v>10783</v>
      </c>
      <c r="G16" t="s">
        <v>305</v>
      </c>
      <c r="I16">
        <v>1652</v>
      </c>
      <c r="J16">
        <v>537</v>
      </c>
      <c r="K16">
        <v>1134</v>
      </c>
      <c r="L16">
        <v>427</v>
      </c>
      <c r="M16">
        <v>1165</v>
      </c>
      <c r="N16">
        <v>447</v>
      </c>
    </row>
    <row r="17" spans="1:14" x14ac:dyDescent="0.25">
      <c r="A17" s="7">
        <v>16619</v>
      </c>
      <c r="B17">
        <v>7964</v>
      </c>
      <c r="C17">
        <v>14297</v>
      </c>
      <c r="G17" t="s">
        <v>306</v>
      </c>
      <c r="I17">
        <v>8567</v>
      </c>
      <c r="J17">
        <v>311</v>
      </c>
      <c r="K17">
        <v>8308</v>
      </c>
      <c r="L17">
        <v>246</v>
      </c>
      <c r="M17">
        <v>8312</v>
      </c>
      <c r="N17">
        <v>246</v>
      </c>
    </row>
    <row r="18" spans="1:14" ht="32.25" customHeight="1" x14ac:dyDescent="0.25">
      <c r="A18" s="7">
        <v>16650</v>
      </c>
      <c r="B18">
        <v>12884</v>
      </c>
      <c r="C18">
        <v>23544</v>
      </c>
      <c r="G18" s="5" t="s">
        <v>307</v>
      </c>
    </row>
    <row r="19" spans="1:14" ht="47.25" customHeight="1" x14ac:dyDescent="0.25">
      <c r="A19" s="7">
        <v>16681</v>
      </c>
      <c r="B19">
        <v>27824</v>
      </c>
      <c r="C19">
        <v>54026</v>
      </c>
      <c r="G19" s="5" t="s">
        <v>308</v>
      </c>
      <c r="I19">
        <v>3248858</v>
      </c>
      <c r="J19" s="5" t="s">
        <v>309</v>
      </c>
      <c r="K19">
        <v>207028</v>
      </c>
      <c r="L19">
        <v>554896</v>
      </c>
      <c r="M19">
        <v>2145778</v>
      </c>
      <c r="N19">
        <v>570836</v>
      </c>
    </row>
    <row r="20" spans="1:14" x14ac:dyDescent="0.25">
      <c r="A20" s="7">
        <v>16711</v>
      </c>
      <c r="B20">
        <f>18*10^5</f>
        <v>1800000</v>
      </c>
      <c r="C20">
        <v>380000</v>
      </c>
      <c r="G20" t="s">
        <v>310</v>
      </c>
    </row>
    <row r="21" spans="1:14" x14ac:dyDescent="0.25">
      <c r="A21" s="7">
        <v>16742</v>
      </c>
      <c r="B21">
        <f>11*10^5</f>
        <v>1100000</v>
      </c>
      <c r="C21">
        <v>2400000</v>
      </c>
      <c r="G21" t="s">
        <v>311</v>
      </c>
    </row>
    <row r="22" spans="1:14" x14ac:dyDescent="0.25">
      <c r="A22" s="7">
        <v>16772</v>
      </c>
      <c r="B22">
        <f>27*10^5</f>
        <v>2700000</v>
      </c>
      <c r="C22">
        <v>6100000</v>
      </c>
      <c r="H22">
        <v>1938</v>
      </c>
      <c r="I22">
        <v>1947</v>
      </c>
    </row>
    <row r="23" spans="1:14" ht="30" x14ac:dyDescent="0.25">
      <c r="A23" s="7">
        <v>16803</v>
      </c>
      <c r="B23">
        <v>5200000</v>
      </c>
      <c r="C23">
        <v>11000000</v>
      </c>
      <c r="G23" s="5" t="s">
        <v>312</v>
      </c>
      <c r="H23">
        <v>2576</v>
      </c>
      <c r="I23">
        <v>2378</v>
      </c>
    </row>
    <row r="24" spans="1:14" ht="30" x14ac:dyDescent="0.25">
      <c r="A24" s="7">
        <v>16834</v>
      </c>
      <c r="B24">
        <v>34000000</v>
      </c>
      <c r="C24">
        <v>65000000</v>
      </c>
      <c r="G24" s="5" t="s">
        <v>313</v>
      </c>
      <c r="H24">
        <v>656</v>
      </c>
      <c r="I24">
        <v>470</v>
      </c>
    </row>
    <row r="25" spans="1:14" x14ac:dyDescent="0.25">
      <c r="A25" s="7">
        <v>16862</v>
      </c>
      <c r="B25">
        <v>140000000</v>
      </c>
      <c r="C25">
        <v>290000000</v>
      </c>
    </row>
    <row r="26" spans="1:14" x14ac:dyDescent="0.25">
      <c r="A26" s="7">
        <v>16893</v>
      </c>
      <c r="B26">
        <v>2500000000</v>
      </c>
      <c r="C26">
        <v>5000000000</v>
      </c>
      <c r="H26" s="7">
        <v>14032</v>
      </c>
      <c r="I26" t="s">
        <v>299</v>
      </c>
    </row>
    <row r="27" spans="1:14" ht="30" x14ac:dyDescent="0.25">
      <c r="A27" s="7">
        <v>16923</v>
      </c>
      <c r="B27">
        <v>750000000000</v>
      </c>
      <c r="C27">
        <v>1500000000000</v>
      </c>
      <c r="F27" s="39"/>
      <c r="G27" s="5" t="s">
        <v>302</v>
      </c>
      <c r="H27">
        <v>11488</v>
      </c>
      <c r="I27">
        <v>4146</v>
      </c>
    </row>
    <row r="28" spans="1:14" ht="30" x14ac:dyDescent="0.25">
      <c r="A28" s="7">
        <v>16954</v>
      </c>
      <c r="B28">
        <v>3.1E+17</v>
      </c>
      <c r="C28">
        <v>6.6E+17</v>
      </c>
      <c r="G28" s="66" t="s">
        <v>303</v>
      </c>
      <c r="H28">
        <v>13784</v>
      </c>
      <c r="I28">
        <v>5330</v>
      </c>
    </row>
    <row r="29" spans="1:14" ht="30" x14ac:dyDescent="0.25">
      <c r="A29" s="7">
        <v>16984</v>
      </c>
      <c r="B29">
        <f>24*10^28</f>
        <v>2.4000000000000001E+29</v>
      </c>
      <c r="C29">
        <f>51*10^28</f>
        <v>5.1000000000000001E+29</v>
      </c>
      <c r="G29" s="66" t="s">
        <v>304</v>
      </c>
      <c r="H29">
        <v>3571</v>
      </c>
      <c r="I29">
        <v>300</v>
      </c>
    </row>
    <row r="30" spans="1:14" x14ac:dyDescent="0.25">
      <c r="A30" s="7">
        <v>17015</v>
      </c>
      <c r="B30">
        <v>349</v>
      </c>
      <c r="C30">
        <v>489</v>
      </c>
      <c r="D30" t="s">
        <v>314</v>
      </c>
      <c r="G30" t="s">
        <v>305</v>
      </c>
      <c r="I30">
        <v>537</v>
      </c>
    </row>
    <row r="31" spans="1:14" x14ac:dyDescent="0.25">
      <c r="A31" s="7">
        <v>17046</v>
      </c>
      <c r="B31">
        <v>338</v>
      </c>
      <c r="C31">
        <v>462</v>
      </c>
      <c r="G31" t="s">
        <v>306</v>
      </c>
      <c r="I31">
        <v>311</v>
      </c>
    </row>
    <row r="32" spans="1:14" x14ac:dyDescent="0.25">
      <c r="A32" s="7">
        <v>17076</v>
      </c>
      <c r="B32">
        <v>357</v>
      </c>
      <c r="C32">
        <v>519</v>
      </c>
    </row>
    <row r="33" spans="1:50" x14ac:dyDescent="0.25">
      <c r="A33" s="7">
        <v>17107</v>
      </c>
      <c r="B33">
        <v>382</v>
      </c>
      <c r="C33">
        <v>580</v>
      </c>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row>
    <row r="34" spans="1:50" x14ac:dyDescent="0.25">
      <c r="A34" s="7">
        <v>17137</v>
      </c>
      <c r="B34">
        <v>369</v>
      </c>
      <c r="C34">
        <v>550</v>
      </c>
    </row>
    <row r="35" spans="1:50" x14ac:dyDescent="0.25">
      <c r="A35" s="7">
        <v>17168</v>
      </c>
      <c r="B35">
        <v>385</v>
      </c>
      <c r="C35">
        <v>588</v>
      </c>
    </row>
    <row r="36" spans="1:50" x14ac:dyDescent="0.25">
      <c r="A36" s="7">
        <v>17199</v>
      </c>
      <c r="B36">
        <v>420</v>
      </c>
      <c r="C36">
        <v>669</v>
      </c>
    </row>
    <row r="37" spans="1:50" x14ac:dyDescent="0.25">
      <c r="A37" s="7">
        <v>17227</v>
      </c>
      <c r="B37">
        <v>414</v>
      </c>
      <c r="C37">
        <v>656</v>
      </c>
    </row>
    <row r="38" spans="1:50" x14ac:dyDescent="0.25">
      <c r="A38" s="7">
        <v>17258</v>
      </c>
      <c r="B38">
        <v>431</v>
      </c>
      <c r="C38">
        <v>693</v>
      </c>
    </row>
    <row r="39" spans="1:50" x14ac:dyDescent="0.25">
      <c r="A39" s="7">
        <v>17288</v>
      </c>
      <c r="B39">
        <v>425</v>
      </c>
      <c r="C39">
        <v>667</v>
      </c>
    </row>
    <row r="40" spans="1:50" x14ac:dyDescent="0.25">
      <c r="E40" s="27"/>
    </row>
    <row r="41" spans="1:50" x14ac:dyDescent="0.25">
      <c r="A41" t="s">
        <v>315</v>
      </c>
      <c r="E41" s="27"/>
      <c r="N41" t="s">
        <v>316</v>
      </c>
    </row>
    <row r="42" spans="1:50" x14ac:dyDescent="0.25">
      <c r="A42" t="s">
        <v>317</v>
      </c>
      <c r="E42" s="27"/>
      <c r="K42" s="79"/>
      <c r="L42" s="79"/>
      <c r="O42" t="s">
        <v>318</v>
      </c>
    </row>
    <row r="43" spans="1:50" x14ac:dyDescent="0.25">
      <c r="B43" t="s">
        <v>126</v>
      </c>
      <c r="C43" t="s">
        <v>127</v>
      </c>
      <c r="D43" t="s">
        <v>319</v>
      </c>
      <c r="E43" s="27" t="s">
        <v>320</v>
      </c>
      <c r="F43" s="27" t="s">
        <v>321</v>
      </c>
      <c r="H43" t="s">
        <v>322</v>
      </c>
      <c r="I43" t="s">
        <v>323</v>
      </c>
      <c r="J43">
        <f>CORREL(B44:B88,C44:C88)</f>
        <v>0.9999999457612867</v>
      </c>
      <c r="K43" t="s">
        <v>324</v>
      </c>
      <c r="O43" t="s">
        <v>126</v>
      </c>
      <c r="P43" t="s">
        <v>127</v>
      </c>
      <c r="Q43" t="s">
        <v>319</v>
      </c>
      <c r="R43" s="27" t="s">
        <v>320</v>
      </c>
      <c r="S43" s="27" t="s">
        <v>321</v>
      </c>
    </row>
    <row r="44" spans="1:50" x14ac:dyDescent="0.25">
      <c r="A44" s="8">
        <v>16633</v>
      </c>
      <c r="B44">
        <v>100</v>
      </c>
      <c r="C44">
        <v>100</v>
      </c>
      <c r="D44">
        <v>100</v>
      </c>
      <c r="E44">
        <v>100</v>
      </c>
      <c r="F44">
        <v>100</v>
      </c>
      <c r="J44">
        <f>CORREL(F44:F88,B44:B88)</f>
        <v>0.99999999165399234</v>
      </c>
      <c r="K44" t="s">
        <v>325</v>
      </c>
      <c r="N44" s="8">
        <v>16633</v>
      </c>
      <c r="O44">
        <v>122</v>
      </c>
      <c r="P44">
        <v>83</v>
      </c>
      <c r="Q44">
        <v>48</v>
      </c>
      <c r="R44">
        <v>62</v>
      </c>
      <c r="S44">
        <v>89</v>
      </c>
    </row>
    <row r="45" spans="1:50" x14ac:dyDescent="0.25">
      <c r="A45" s="1">
        <v>16650</v>
      </c>
      <c r="B45">
        <v>117.8</v>
      </c>
      <c r="C45">
        <v>122.8</v>
      </c>
      <c r="D45">
        <v>102.5</v>
      </c>
      <c r="E45" s="27">
        <v>128.1</v>
      </c>
      <c r="F45" s="27">
        <v>118.2</v>
      </c>
      <c r="G45" s="21">
        <f t="shared" ref="G45:G88" si="0">(F45-F44)/F44</f>
        <v>0.18200000000000002</v>
      </c>
      <c r="H45" s="36">
        <f>(F45/F44)^21.47-1</f>
        <v>35.232409943143885</v>
      </c>
      <c r="I45" s="36">
        <f>(F45/F44)^1.76-1</f>
        <v>0.34216762474090445</v>
      </c>
      <c r="J45">
        <f>CORREL(F44:F88,C44:C88)</f>
        <v>0.99999997996108803</v>
      </c>
      <c r="K45" t="s">
        <v>326</v>
      </c>
      <c r="N45" s="1">
        <v>16650</v>
      </c>
      <c r="O45">
        <v>144</v>
      </c>
      <c r="P45">
        <v>102</v>
      </c>
      <c r="Q45">
        <v>49</v>
      </c>
      <c r="R45">
        <v>80</v>
      </c>
      <c r="S45">
        <v>105</v>
      </c>
    </row>
    <row r="46" spans="1:50" x14ac:dyDescent="0.25">
      <c r="A46" s="1">
        <v>16664</v>
      </c>
      <c r="B46">
        <v>158.80000000000001</v>
      </c>
      <c r="C46">
        <v>176.6</v>
      </c>
      <c r="D46">
        <v>127.3</v>
      </c>
      <c r="E46" s="27">
        <v>149.4</v>
      </c>
      <c r="F46" s="27">
        <v>155.9</v>
      </c>
      <c r="G46" s="21">
        <f t="shared" si="0"/>
        <v>0.31895093062605756</v>
      </c>
      <c r="H46" s="36">
        <f>(F46/F45)^26-1</f>
        <v>1335.4250415674587</v>
      </c>
      <c r="I46" s="36">
        <f>(F46/F45)^2.14-1</f>
        <v>0.80837829878406642</v>
      </c>
      <c r="J46">
        <f>CORREL(F44:F88,D44:D88)</f>
        <v>0.99999999837622444</v>
      </c>
      <c r="K46" t="s">
        <v>327</v>
      </c>
      <c r="N46" s="1">
        <v>16664</v>
      </c>
      <c r="O46">
        <v>194</v>
      </c>
      <c r="P46">
        <v>147</v>
      </c>
      <c r="Q46">
        <v>61</v>
      </c>
      <c r="R46">
        <v>93</v>
      </c>
      <c r="S46">
        <v>139</v>
      </c>
    </row>
    <row r="47" spans="1:50" x14ac:dyDescent="0.25">
      <c r="A47" s="1">
        <v>16681</v>
      </c>
      <c r="B47">
        <v>194</v>
      </c>
      <c r="C47">
        <v>228.2</v>
      </c>
      <c r="D47">
        <v>143.1</v>
      </c>
      <c r="E47" s="27">
        <v>193.6</v>
      </c>
      <c r="F47" s="27">
        <v>192.1</v>
      </c>
      <c r="G47" s="21">
        <f t="shared" si="0"/>
        <v>0.23220012828736361</v>
      </c>
      <c r="H47" s="36">
        <f>(F47/F46)^21.47-1</f>
        <v>87.496568386688523</v>
      </c>
      <c r="I47" s="36">
        <f>(F47/F46)^1.76-1</f>
        <v>0.44410575732132718</v>
      </c>
      <c r="J47" s="21">
        <f>CORREL(F44:F88,E44:E88)</f>
        <v>0.99999999975049425</v>
      </c>
      <c r="K47" t="s">
        <v>328</v>
      </c>
      <c r="N47" s="1">
        <v>16681</v>
      </c>
      <c r="O47">
        <v>237</v>
      </c>
      <c r="P47">
        <v>189</v>
      </c>
      <c r="Q47">
        <v>68</v>
      </c>
      <c r="R47">
        <v>121</v>
      </c>
      <c r="S47">
        <v>171</v>
      </c>
    </row>
    <row r="48" spans="1:50" x14ac:dyDescent="0.25">
      <c r="A48" s="1">
        <v>16695</v>
      </c>
      <c r="B48">
        <v>266.8</v>
      </c>
      <c r="C48">
        <v>294.60000000000002</v>
      </c>
      <c r="D48">
        <v>159.19999999999999</v>
      </c>
      <c r="E48" s="27">
        <v>215</v>
      </c>
      <c r="F48" s="27">
        <v>250.4</v>
      </c>
      <c r="G48" s="21">
        <f t="shared" si="0"/>
        <v>0.30348776678813127</v>
      </c>
      <c r="H48" s="36">
        <f>(F48/F47)^26-1</f>
        <v>982.51491775078409</v>
      </c>
      <c r="I48" s="36">
        <f>(F48/F47)^2.14-1</f>
        <v>0.76331090638688237</v>
      </c>
      <c r="J48" s="27"/>
      <c r="N48" s="1">
        <v>16695</v>
      </c>
      <c r="O48">
        <v>326</v>
      </c>
      <c r="P48">
        <v>244</v>
      </c>
      <c r="Q48">
        <v>76</v>
      </c>
      <c r="R48">
        <v>134</v>
      </c>
      <c r="S48">
        <v>223</v>
      </c>
    </row>
    <row r="49" spans="1:19" x14ac:dyDescent="0.25">
      <c r="A49" s="1">
        <v>16711</v>
      </c>
      <c r="B49">
        <v>456.1</v>
      </c>
      <c r="C49">
        <v>606.29999999999995</v>
      </c>
      <c r="D49">
        <v>216.6</v>
      </c>
      <c r="E49" s="27">
        <v>311.89999999999998</v>
      </c>
      <c r="F49" s="27">
        <v>425.2</v>
      </c>
      <c r="G49" s="21">
        <f t="shared" si="0"/>
        <v>0.69808306709265167</v>
      </c>
      <c r="H49" s="36">
        <f>(F49/F48)^22.81-1</f>
        <v>175938.44726423084</v>
      </c>
      <c r="I49" s="36">
        <f>(F49/F48)^1.875-1</f>
        <v>1.6988142599769072</v>
      </c>
      <c r="N49" s="1">
        <v>16711</v>
      </c>
      <c r="O49">
        <v>557</v>
      </c>
      <c r="P49">
        <v>503</v>
      </c>
      <c r="Q49">
        <v>103</v>
      </c>
      <c r="R49">
        <v>195</v>
      </c>
      <c r="S49">
        <v>379</v>
      </c>
    </row>
    <row r="50" spans="1:19" x14ac:dyDescent="0.25">
      <c r="A50" s="1">
        <v>16725</v>
      </c>
      <c r="B50">
        <v>1387.9</v>
      </c>
      <c r="C50">
        <v>1511.5</v>
      </c>
      <c r="D50">
        <v>697.4</v>
      </c>
      <c r="E50" s="27">
        <v>622.79999999999995</v>
      </c>
      <c r="F50" s="27">
        <v>1212.2</v>
      </c>
      <c r="G50" s="21">
        <f t="shared" si="0"/>
        <v>1.8508936970837253</v>
      </c>
      <c r="H50" s="36">
        <f>(F50/F49)^26-1</f>
        <v>675315346877.07385</v>
      </c>
      <c r="I50" s="36">
        <f>(F50/F49)^2.14-1</f>
        <v>8.4115117977330165</v>
      </c>
      <c r="J50" s="27"/>
      <c r="N50" s="1">
        <v>16725</v>
      </c>
      <c r="O50">
        <v>1694</v>
      </c>
      <c r="P50">
        <v>1254</v>
      </c>
      <c r="Q50">
        <v>331</v>
      </c>
      <c r="R50">
        <v>389</v>
      </c>
      <c r="S50">
        <v>1081</v>
      </c>
    </row>
    <row r="51" spans="1:19" x14ac:dyDescent="0.25">
      <c r="A51" s="1">
        <v>16734</v>
      </c>
      <c r="B51">
        <v>2066.9</v>
      </c>
      <c r="C51">
        <v>2016.5</v>
      </c>
      <c r="D51">
        <v>1379.1</v>
      </c>
      <c r="E51" s="27">
        <v>1189.4000000000001</v>
      </c>
      <c r="F51" s="27">
        <v>1855.2</v>
      </c>
      <c r="G51" s="21">
        <f t="shared" si="0"/>
        <v>0.5304405213661112</v>
      </c>
      <c r="H51" s="36">
        <f>(F51/F50)^40.56-1</f>
        <v>31344073.692732856</v>
      </c>
      <c r="I51" s="36">
        <f>(F51/F50)^3.33-1</f>
        <v>3.1251410068961469</v>
      </c>
      <c r="J51" s="27"/>
      <c r="N51" s="1">
        <v>16734</v>
      </c>
      <c r="O51">
        <v>2523</v>
      </c>
      <c r="P51">
        <v>1673</v>
      </c>
      <c r="Q51">
        <v>655</v>
      </c>
      <c r="R51">
        <v>742</v>
      </c>
      <c r="S51">
        <v>1655</v>
      </c>
    </row>
    <row r="52" spans="1:19" x14ac:dyDescent="0.25">
      <c r="A52" s="1">
        <v>16741</v>
      </c>
      <c r="B52">
        <v>3105.5</v>
      </c>
      <c r="C52">
        <v>2758.6</v>
      </c>
      <c r="D52">
        <v>2015.1</v>
      </c>
      <c r="E52" s="27">
        <v>1612.8</v>
      </c>
      <c r="F52" s="27">
        <v>2724.7</v>
      </c>
      <c r="G52" s="21">
        <f t="shared" si="0"/>
        <v>0.46868262181974973</v>
      </c>
      <c r="H52" s="36">
        <f t="shared" ref="H52:H58" si="1">(F52/F51)^52-1</f>
        <v>478909792.13102102</v>
      </c>
      <c r="I52" s="36">
        <f t="shared" ref="I52:I58" si="2">(F52/F51)^4.29-1</f>
        <v>4.2014081249110671</v>
      </c>
      <c r="J52" s="27"/>
      <c r="N52" s="1">
        <v>16741</v>
      </c>
      <c r="O52">
        <v>3791</v>
      </c>
      <c r="P52">
        <v>2283</v>
      </c>
      <c r="Q52">
        <v>957</v>
      </c>
      <c r="R52">
        <v>1006</v>
      </c>
      <c r="S52">
        <v>2431</v>
      </c>
    </row>
    <row r="53" spans="1:19" x14ac:dyDescent="0.25">
      <c r="A53" s="1">
        <v>16748</v>
      </c>
      <c r="B53">
        <v>5769.8</v>
      </c>
      <c r="C53">
        <v>3568.1</v>
      </c>
      <c r="D53">
        <v>2445.8000000000002</v>
      </c>
      <c r="E53" s="27">
        <v>2029.4</v>
      </c>
      <c r="F53" s="27">
        <v>4617</v>
      </c>
      <c r="G53" s="21">
        <f t="shared" si="0"/>
        <v>0.69449847689653921</v>
      </c>
      <c r="H53" s="36">
        <f t="shared" si="1"/>
        <v>813095403502.10486</v>
      </c>
      <c r="I53" s="36">
        <f t="shared" si="2"/>
        <v>8.6069753029083103</v>
      </c>
      <c r="J53" s="27"/>
      <c r="N53" s="1">
        <v>16748</v>
      </c>
      <c r="O53">
        <v>7076</v>
      </c>
      <c r="P53">
        <v>2960</v>
      </c>
      <c r="Q53">
        <v>1162</v>
      </c>
      <c r="R53">
        <v>1266</v>
      </c>
      <c r="S53">
        <v>4119</v>
      </c>
    </row>
    <row r="54" spans="1:19" x14ac:dyDescent="0.25">
      <c r="A54" s="1">
        <v>16755</v>
      </c>
      <c r="B54">
        <v>8754.2999999999993</v>
      </c>
      <c r="C54">
        <v>4063.9</v>
      </c>
      <c r="D54">
        <v>2984</v>
      </c>
      <c r="E54" s="27">
        <v>4118.3</v>
      </c>
      <c r="F54" s="27">
        <v>6901</v>
      </c>
      <c r="G54" s="21">
        <f t="shared" si="0"/>
        <v>0.49469352393329002</v>
      </c>
      <c r="H54" s="36">
        <f t="shared" si="1"/>
        <v>1193196437.6648531</v>
      </c>
      <c r="I54" s="36">
        <f t="shared" si="2"/>
        <v>4.6082677009330801</v>
      </c>
      <c r="J54" s="27"/>
      <c r="N54" s="1">
        <v>16755</v>
      </c>
      <c r="O54">
        <v>10687</v>
      </c>
      <c r="P54">
        <v>3371</v>
      </c>
      <c r="Q54">
        <v>1418</v>
      </c>
      <c r="R54">
        <v>2570</v>
      </c>
      <c r="S54">
        <v>6157</v>
      </c>
    </row>
    <row r="55" spans="1:19" x14ac:dyDescent="0.25">
      <c r="A55" s="1">
        <v>16762</v>
      </c>
      <c r="B55">
        <v>13930.6</v>
      </c>
      <c r="C55">
        <v>8619.7999999999993</v>
      </c>
      <c r="D55">
        <v>4454.8999999999996</v>
      </c>
      <c r="E55" s="27">
        <v>5818.3</v>
      </c>
      <c r="F55" s="27">
        <v>11082.9</v>
      </c>
      <c r="G55" s="21">
        <f t="shared" si="0"/>
        <v>0.60598463990725981</v>
      </c>
      <c r="H55" s="36">
        <f t="shared" si="1"/>
        <v>49951914362.528412</v>
      </c>
      <c r="I55" s="36">
        <f t="shared" si="2"/>
        <v>6.631862746380671</v>
      </c>
      <c r="J55" s="27"/>
      <c r="N55" s="1">
        <v>16762</v>
      </c>
      <c r="O55">
        <v>17005</v>
      </c>
      <c r="P55">
        <v>7150</v>
      </c>
      <c r="Q55">
        <v>2116</v>
      </c>
      <c r="R55">
        <v>3630</v>
      </c>
      <c r="S55">
        <v>9888</v>
      </c>
    </row>
    <row r="56" spans="1:19" x14ac:dyDescent="0.25">
      <c r="A56" s="1">
        <v>16769</v>
      </c>
      <c r="B56">
        <v>17322.7</v>
      </c>
      <c r="C56">
        <v>14192.5</v>
      </c>
      <c r="D56">
        <v>8385.7999999999993</v>
      </c>
      <c r="E56" s="27">
        <v>7640.3</v>
      </c>
      <c r="F56" s="27">
        <v>14547.5</v>
      </c>
      <c r="G56" s="21">
        <f t="shared" si="0"/>
        <v>0.31260771097817364</v>
      </c>
      <c r="H56" s="36">
        <f t="shared" si="1"/>
        <v>1390007.5225636973</v>
      </c>
      <c r="I56" s="36">
        <f t="shared" si="2"/>
        <v>2.2121730990899291</v>
      </c>
      <c r="J56" s="27"/>
      <c r="N56" s="1">
        <v>16769</v>
      </c>
      <c r="O56">
        <v>21146</v>
      </c>
      <c r="P56">
        <v>11722</v>
      </c>
      <c r="Q56">
        <v>3984</v>
      </c>
      <c r="R56">
        <v>4767</v>
      </c>
      <c r="S56">
        <v>12979</v>
      </c>
    </row>
    <row r="57" spans="1:19" x14ac:dyDescent="0.25">
      <c r="A57" s="1">
        <v>16776</v>
      </c>
      <c r="B57">
        <v>26905.9</v>
      </c>
      <c r="C57">
        <v>18871.8</v>
      </c>
      <c r="D57">
        <v>18611.599999999999</v>
      </c>
      <c r="E57" s="27">
        <v>9556.9</v>
      </c>
      <c r="F57" s="27">
        <v>22511.7</v>
      </c>
      <c r="G57" s="21">
        <f t="shared" si="0"/>
        <v>0.54746176318955153</v>
      </c>
      <c r="H57" s="36">
        <f t="shared" si="1"/>
        <v>7248300454.8090868</v>
      </c>
      <c r="I57" s="36">
        <f t="shared" si="2"/>
        <v>5.5083288019988554</v>
      </c>
      <c r="J57" s="27"/>
      <c r="N57" s="1">
        <v>16776</v>
      </c>
      <c r="O57">
        <v>32845</v>
      </c>
      <c r="P57">
        <v>15654</v>
      </c>
      <c r="Q57">
        <v>8842</v>
      </c>
      <c r="R57">
        <v>5963</v>
      </c>
      <c r="S57">
        <v>20084</v>
      </c>
    </row>
    <row r="58" spans="1:19" x14ac:dyDescent="0.25">
      <c r="A58" s="1">
        <v>16783</v>
      </c>
      <c r="B58">
        <v>44274.3</v>
      </c>
      <c r="C58">
        <v>29239.8</v>
      </c>
      <c r="D58">
        <v>23993.599999999999</v>
      </c>
      <c r="E58" s="27">
        <v>13543.1</v>
      </c>
      <c r="F58" s="27">
        <v>35451.1</v>
      </c>
      <c r="G58" s="21">
        <f t="shared" si="0"/>
        <v>0.57478555595534753</v>
      </c>
      <c r="H58" s="36">
        <f t="shared" si="1"/>
        <v>18010011217.744164</v>
      </c>
      <c r="I58" s="36">
        <f t="shared" si="2"/>
        <v>6.0158436747507329</v>
      </c>
      <c r="J58" s="27"/>
      <c r="N58" s="1">
        <v>16783</v>
      </c>
      <c r="O58">
        <v>54047</v>
      </c>
      <c r="P58">
        <v>21810</v>
      </c>
      <c r="Q58">
        <v>11398</v>
      </c>
      <c r="R58">
        <v>8450</v>
      </c>
      <c r="S58">
        <v>31628</v>
      </c>
    </row>
    <row r="59" spans="1:19" x14ac:dyDescent="0.25">
      <c r="A59" s="1">
        <v>16804</v>
      </c>
      <c r="B59">
        <v>59302</v>
      </c>
      <c r="C59">
        <v>26624</v>
      </c>
      <c r="D59">
        <v>28208</v>
      </c>
      <c r="E59" s="27">
        <v>20906</v>
      </c>
      <c r="F59" s="27">
        <v>49491</v>
      </c>
      <c r="G59" s="21">
        <f t="shared" si="0"/>
        <v>0.39603566603010915</v>
      </c>
      <c r="H59" s="36">
        <f>(F59/F58)^17.38-1</f>
        <v>328.83854815524626</v>
      </c>
      <c r="I59" s="36">
        <f>(F59/F58)^1.43-1</f>
        <v>0.61139501121935802</v>
      </c>
      <c r="J59" s="27"/>
    </row>
    <row r="60" spans="1:19" x14ac:dyDescent="0.25">
      <c r="A60" s="1">
        <v>16811</v>
      </c>
      <c r="B60">
        <v>69090</v>
      </c>
      <c r="C60">
        <v>31945</v>
      </c>
      <c r="D60">
        <v>28208</v>
      </c>
      <c r="E60" s="27">
        <v>25739</v>
      </c>
      <c r="F60" s="27">
        <v>53960</v>
      </c>
      <c r="G60" s="21">
        <f t="shared" si="0"/>
        <v>9.0299246327615115E-2</v>
      </c>
      <c r="H60" s="36">
        <f>(F60/F59)^52-1</f>
        <v>88.614238289597225</v>
      </c>
      <c r="I60" s="36">
        <f>(F60/F59)^4.29-1</f>
        <v>0.44900907011721825</v>
      </c>
      <c r="J60" s="27"/>
    </row>
    <row r="61" spans="1:19" x14ac:dyDescent="0.25">
      <c r="A61" s="1">
        <v>16818</v>
      </c>
      <c r="B61">
        <v>77117</v>
      </c>
      <c r="C61">
        <v>40660</v>
      </c>
      <c r="D61">
        <v>25697</v>
      </c>
      <c r="E61" s="27">
        <v>29072</v>
      </c>
      <c r="F61" s="27">
        <v>60206</v>
      </c>
      <c r="G61" s="21">
        <f t="shared" si="0"/>
        <v>0.11575240919199407</v>
      </c>
      <c r="H61" s="36">
        <f>(F61/F60)^52-1</f>
        <v>296.52764847142782</v>
      </c>
      <c r="I61" s="36">
        <f>(F61/F60)^4.29-1</f>
        <v>0.59980115024964631</v>
      </c>
      <c r="J61" s="27"/>
    </row>
    <row r="62" spans="1:19" x14ac:dyDescent="0.25">
      <c r="A62" s="1">
        <v>16825</v>
      </c>
      <c r="B62">
        <v>78701</v>
      </c>
      <c r="C62">
        <v>44825</v>
      </c>
      <c r="D62">
        <v>33665</v>
      </c>
      <c r="E62" s="27">
        <v>40500</v>
      </c>
      <c r="F62" s="27">
        <v>64245</v>
      </c>
      <c r="G62" s="21">
        <f t="shared" si="0"/>
        <v>6.7086336909942534E-2</v>
      </c>
      <c r="H62" s="36">
        <f>(F62/F61)^52-1</f>
        <v>28.266923860554954</v>
      </c>
      <c r="I62" s="36">
        <f>(F62/F61)^4.29-1</f>
        <v>0.32122295004531298</v>
      </c>
      <c r="J62" s="27"/>
    </row>
    <row r="63" spans="1:19" x14ac:dyDescent="0.25">
      <c r="A63" s="1">
        <v>16831</v>
      </c>
      <c r="B63">
        <v>83594</v>
      </c>
      <c r="C63">
        <v>71361</v>
      </c>
      <c r="D63">
        <v>43353</v>
      </c>
      <c r="E63" s="27">
        <v>58361</v>
      </c>
      <c r="F63" s="27">
        <v>74031</v>
      </c>
      <c r="G63" s="21">
        <f t="shared" si="0"/>
        <v>0.15232313798739203</v>
      </c>
      <c r="H63" s="36">
        <f>(F63/F62)^60.83-1</f>
        <v>5565.2613761647062</v>
      </c>
      <c r="I63" s="36">
        <f>(F63/F62)^5-1</f>
        <v>1.0317553489483018</v>
      </c>
      <c r="J63" s="27"/>
    </row>
    <row r="64" spans="1:19" x14ac:dyDescent="0.25">
      <c r="A64" s="1">
        <v>16839</v>
      </c>
      <c r="B64">
        <v>109334</v>
      </c>
      <c r="C64">
        <v>92139</v>
      </c>
      <c r="D64">
        <v>49989</v>
      </c>
      <c r="E64" s="27">
        <v>76111</v>
      </c>
      <c r="F64" s="27">
        <v>95918</v>
      </c>
      <c r="G64" s="21">
        <f t="shared" si="0"/>
        <v>0.29564641839229511</v>
      </c>
      <c r="H64" s="36">
        <f t="shared" ref="H64:H76" si="3">(F64/F63)^52-1</f>
        <v>706801.27657188859</v>
      </c>
      <c r="I64" s="36">
        <f t="shared" ref="I64:I76" si="4">(F64/F63)^4.29-1</f>
        <v>2.0378552751253172</v>
      </c>
      <c r="J64" s="27"/>
    </row>
    <row r="65" spans="1:11" x14ac:dyDescent="0.25">
      <c r="A65" s="1">
        <v>16846</v>
      </c>
      <c r="B65">
        <v>125727</v>
      </c>
      <c r="C65">
        <v>128777</v>
      </c>
      <c r="D65">
        <v>67144</v>
      </c>
      <c r="E65" s="27">
        <v>96389</v>
      </c>
      <c r="F65" s="27">
        <v>115254</v>
      </c>
      <c r="G65" s="21">
        <f t="shared" si="0"/>
        <v>0.20158885714881461</v>
      </c>
      <c r="H65" s="36">
        <f t="shared" si="3"/>
        <v>14037.037509348775</v>
      </c>
      <c r="I65" s="36">
        <f t="shared" si="4"/>
        <v>1.1986331808673492</v>
      </c>
      <c r="J65" s="27"/>
    </row>
    <row r="66" spans="1:11" x14ac:dyDescent="0.25">
      <c r="A66" s="1">
        <v>16853</v>
      </c>
      <c r="B66">
        <v>280046</v>
      </c>
      <c r="C66">
        <v>209209</v>
      </c>
      <c r="D66">
        <v>82572</v>
      </c>
      <c r="E66" s="27">
        <v>167500</v>
      </c>
      <c r="F66" s="27">
        <v>233573</v>
      </c>
      <c r="G66" s="21">
        <f t="shared" si="0"/>
        <v>1.0265934371041352</v>
      </c>
      <c r="H66" s="36">
        <f t="shared" si="3"/>
        <v>8950861949482011</v>
      </c>
      <c r="I66" s="36">
        <f t="shared" si="4"/>
        <v>19.702788761102543</v>
      </c>
      <c r="J66" s="27"/>
    </row>
    <row r="67" spans="1:11" x14ac:dyDescent="0.25">
      <c r="A67" s="1">
        <v>16860</v>
      </c>
      <c r="B67">
        <v>513243</v>
      </c>
      <c r="C67">
        <v>676153</v>
      </c>
      <c r="D67">
        <v>241216</v>
      </c>
      <c r="E67" s="27">
        <v>369722</v>
      </c>
      <c r="F67" s="27">
        <v>480305</v>
      </c>
      <c r="G67" s="21">
        <f t="shared" si="0"/>
        <v>1.0563378472683058</v>
      </c>
      <c r="H67" s="36">
        <f t="shared" si="3"/>
        <v>1.9094679828018212E+16</v>
      </c>
      <c r="I67" s="36">
        <f t="shared" si="4"/>
        <v>21.038156936570765</v>
      </c>
      <c r="J67" s="27"/>
    </row>
    <row r="68" spans="1:11" x14ac:dyDescent="0.25">
      <c r="A68" s="1">
        <v>16867</v>
      </c>
      <c r="B68">
        <v>642608</v>
      </c>
      <c r="C68">
        <v>894738</v>
      </c>
      <c r="D68">
        <v>288275</v>
      </c>
      <c r="E68" s="27">
        <v>500556</v>
      </c>
      <c r="F68" s="27">
        <v>610914</v>
      </c>
      <c r="G68" s="21">
        <f t="shared" si="0"/>
        <v>0.27192929492718171</v>
      </c>
      <c r="H68" s="36">
        <f t="shared" si="3"/>
        <v>270441.18928527849</v>
      </c>
      <c r="I68" s="36">
        <f t="shared" si="4"/>
        <v>1.8063778346095467</v>
      </c>
      <c r="J68" s="27"/>
    </row>
    <row r="69" spans="1:11" x14ac:dyDescent="0.25">
      <c r="A69" s="1">
        <v>16874</v>
      </c>
      <c r="B69">
        <v>748902</v>
      </c>
      <c r="C69">
        <v>1115689</v>
      </c>
      <c r="D69">
        <v>333958</v>
      </c>
      <c r="E69" s="27">
        <v>599167</v>
      </c>
      <c r="F69" s="27">
        <v>722810</v>
      </c>
      <c r="G69" s="21">
        <f t="shared" si="0"/>
        <v>0.18316162340362147</v>
      </c>
      <c r="H69" s="36">
        <f t="shared" si="3"/>
        <v>6283.8060413341382</v>
      </c>
      <c r="I69" s="36">
        <f t="shared" si="4"/>
        <v>1.0575911346175082</v>
      </c>
      <c r="J69" s="27"/>
    </row>
    <row r="70" spans="1:11" x14ac:dyDescent="0.25">
      <c r="A70" s="1">
        <v>16881</v>
      </c>
      <c r="B70">
        <v>1053752</v>
      </c>
      <c r="C70">
        <v>1527334</v>
      </c>
      <c r="D70">
        <v>437931</v>
      </c>
      <c r="E70" s="27">
        <v>749167</v>
      </c>
      <c r="F70" s="27">
        <v>994015</v>
      </c>
      <c r="G70" s="21">
        <f t="shared" si="0"/>
        <v>0.37520925277735506</v>
      </c>
      <c r="H70" s="36">
        <f t="shared" si="3"/>
        <v>15673891.305130599</v>
      </c>
      <c r="I70" s="36">
        <f t="shared" si="4"/>
        <v>2.9228535111026277</v>
      </c>
      <c r="J70" s="27"/>
    </row>
    <row r="71" spans="1:11" x14ac:dyDescent="0.25">
      <c r="A71" s="1">
        <v>16888</v>
      </c>
      <c r="B71">
        <v>1592933</v>
      </c>
      <c r="C71">
        <v>2336666</v>
      </c>
      <c r="D71">
        <v>635278</v>
      </c>
      <c r="E71" s="27">
        <v>1156944</v>
      </c>
      <c r="F71" s="27">
        <v>1506443</v>
      </c>
      <c r="G71" s="21">
        <f t="shared" si="0"/>
        <v>0.51551334738409382</v>
      </c>
      <c r="H71" s="36">
        <f t="shared" si="3"/>
        <v>2449671290.3063707</v>
      </c>
      <c r="I71" s="36">
        <f t="shared" si="4"/>
        <v>4.9511568192866191</v>
      </c>
      <c r="J71" s="27"/>
    </row>
    <row r="72" spans="1:11" x14ac:dyDescent="0.25">
      <c r="A72" s="1">
        <v>16895</v>
      </c>
      <c r="B72">
        <v>3098368</v>
      </c>
      <c r="C72">
        <v>3793041</v>
      </c>
      <c r="D72">
        <v>1180849</v>
      </c>
      <c r="E72" s="27">
        <v>1822222</v>
      </c>
      <c r="F72" s="27">
        <v>2775814</v>
      </c>
      <c r="G72" s="21">
        <f t="shared" si="0"/>
        <v>0.84262796534618301</v>
      </c>
      <c r="H72" s="36">
        <f t="shared" si="3"/>
        <v>63497733218543.016</v>
      </c>
      <c r="I72" s="36">
        <f t="shared" si="4"/>
        <v>12.763457726726825</v>
      </c>
      <c r="J72" s="27"/>
    </row>
    <row r="73" spans="1:11" x14ac:dyDescent="0.25">
      <c r="A73" s="1">
        <v>16902</v>
      </c>
      <c r="B73">
        <v>4679324</v>
      </c>
      <c r="C73">
        <v>6268343</v>
      </c>
      <c r="D73">
        <v>2167581</v>
      </c>
      <c r="E73" s="27">
        <v>3311111</v>
      </c>
      <c r="F73" s="27">
        <v>4378377</v>
      </c>
      <c r="G73" s="21">
        <f t="shared" si="0"/>
        <v>0.57733082980343786</v>
      </c>
      <c r="H73" s="36">
        <f t="shared" si="3"/>
        <v>19587778312.927643</v>
      </c>
      <c r="I73" s="36">
        <f t="shared" si="4"/>
        <v>6.0646195265005556</v>
      </c>
      <c r="J73" s="27"/>
    </row>
    <row r="74" spans="1:11" x14ac:dyDescent="0.25">
      <c r="A74" s="1">
        <v>16909</v>
      </c>
      <c r="B74">
        <v>9720788</v>
      </c>
      <c r="C74">
        <v>12662440</v>
      </c>
      <c r="D74">
        <v>3587355</v>
      </c>
      <c r="E74" s="27">
        <v>7633333</v>
      </c>
      <c r="F74" s="27">
        <v>9065976</v>
      </c>
      <c r="G74" s="21">
        <f t="shared" si="0"/>
        <v>1.0706248000115111</v>
      </c>
      <c r="H74" s="36">
        <f t="shared" si="3"/>
        <v>2.7369911086857064E+16</v>
      </c>
      <c r="I74" s="36">
        <f t="shared" si="4"/>
        <v>21.702571618402946</v>
      </c>
      <c r="J74" s="27"/>
    </row>
    <row r="75" spans="1:11" x14ac:dyDescent="0.25">
      <c r="A75" s="1">
        <v>16916</v>
      </c>
      <c r="B75">
        <v>20312340</v>
      </c>
      <c r="C75">
        <v>27430174</v>
      </c>
      <c r="D75">
        <v>8395477</v>
      </c>
      <c r="E75" s="27">
        <v>13311111</v>
      </c>
      <c r="F75" s="27">
        <v>19761415</v>
      </c>
      <c r="G75" s="21">
        <f t="shared" si="0"/>
        <v>1.1797338753157962</v>
      </c>
      <c r="H75" s="36">
        <f t="shared" si="3"/>
        <v>3.9534898572386138E+17</v>
      </c>
      <c r="I75" s="36">
        <f t="shared" si="4"/>
        <v>27.297684610750924</v>
      </c>
      <c r="J75" s="27"/>
    </row>
    <row r="76" spans="1:11" x14ac:dyDescent="0.25">
      <c r="A76" s="1">
        <v>16924</v>
      </c>
      <c r="B76">
        <v>51548000</v>
      </c>
      <c r="C76">
        <v>52650000</v>
      </c>
      <c r="D76">
        <v>21808000</v>
      </c>
      <c r="E76" s="27">
        <v>32967000</v>
      </c>
      <c r="F76" s="27">
        <v>45635000</v>
      </c>
      <c r="G76" s="21">
        <f t="shared" si="0"/>
        <v>1.3092981954986522</v>
      </c>
      <c r="H76" s="36">
        <f t="shared" si="3"/>
        <v>7.9608756888670116E+18</v>
      </c>
      <c r="I76" s="36">
        <f t="shared" si="4"/>
        <v>35.25177447025299</v>
      </c>
      <c r="J76" s="27"/>
    </row>
    <row r="77" spans="1:11" x14ac:dyDescent="0.25">
      <c r="A77" s="1">
        <v>16930</v>
      </c>
      <c r="B77">
        <v>110944000</v>
      </c>
      <c r="C77">
        <v>170997000</v>
      </c>
      <c r="D77">
        <v>52981000</v>
      </c>
      <c r="E77" s="27">
        <v>90828000</v>
      </c>
      <c r="F77" s="27">
        <v>108335000</v>
      </c>
      <c r="G77" s="21">
        <f t="shared" si="0"/>
        <v>1.3739454366166319</v>
      </c>
      <c r="H77" s="36">
        <f>(F77/F76)^60.83-1</f>
        <v>6.9164728410715707E+22</v>
      </c>
      <c r="I77" s="36">
        <f>(F77/F76)^5-1</f>
        <v>74.396930222009019</v>
      </c>
      <c r="J77" s="27"/>
    </row>
    <row r="78" spans="1:11" x14ac:dyDescent="0.25">
      <c r="A78" s="1">
        <v>16937</v>
      </c>
      <c r="B78">
        <f>3275960*100</f>
        <v>327596000</v>
      </c>
      <c r="C78">
        <v>759973000</v>
      </c>
      <c r="D78">
        <v>172819000</v>
      </c>
      <c r="E78" s="27">
        <v>251528000</v>
      </c>
      <c r="F78">
        <v>348109000</v>
      </c>
      <c r="G78" s="21">
        <f t="shared" si="0"/>
        <v>2.2132644113167488</v>
      </c>
      <c r="H78" s="36">
        <f t="shared" ref="H78:H84" si="5">(F78/F77)^52-1</f>
        <v>2.2972916193849342E+26</v>
      </c>
      <c r="I78" s="36">
        <f t="shared" ref="I78:I84" si="6">(F78/F77)^4.29-1</f>
        <v>148.55479111430299</v>
      </c>
      <c r="K78" t="s">
        <v>329</v>
      </c>
    </row>
    <row r="79" spans="1:11" x14ac:dyDescent="0.25">
      <c r="A79" s="1">
        <v>16944</v>
      </c>
      <c r="B79">
        <v>1551600000</v>
      </c>
      <c r="C79">
        <v>2650300000</v>
      </c>
      <c r="D79">
        <v>633400000</v>
      </c>
      <c r="E79" s="27">
        <v>935300000</v>
      </c>
      <c r="F79">
        <v>1482700000</v>
      </c>
      <c r="G79" s="21">
        <f t="shared" si="0"/>
        <v>3.2592980934132698</v>
      </c>
      <c r="H79" s="36">
        <f t="shared" si="5"/>
        <v>5.3159130214321383E+32</v>
      </c>
      <c r="I79" s="36">
        <f t="shared" si="6"/>
        <v>500.02589670391404</v>
      </c>
    </row>
    <row r="80" spans="1:11" x14ac:dyDescent="0.25">
      <c r="A80" s="1">
        <v>16951</v>
      </c>
      <c r="B80">
        <v>7799200000</v>
      </c>
      <c r="C80">
        <v>11519300000</v>
      </c>
      <c r="D80">
        <v>3288000000</v>
      </c>
      <c r="E80" s="27">
        <v>3732200000</v>
      </c>
      <c r="F80">
        <v>7117600000</v>
      </c>
      <c r="G80" s="21">
        <f t="shared" si="0"/>
        <v>3.8004316449720106</v>
      </c>
      <c r="H80" s="36">
        <f t="shared" si="5"/>
        <v>2.6703923798241469E+35</v>
      </c>
      <c r="I80" s="36">
        <f t="shared" si="6"/>
        <v>835.93637594634799</v>
      </c>
    </row>
    <row r="81" spans="1:11" x14ac:dyDescent="0.25">
      <c r="A81" s="1">
        <v>16958</v>
      </c>
      <c r="B81">
        <v>38857800000</v>
      </c>
      <c r="C81">
        <v>46293400000</v>
      </c>
      <c r="D81">
        <v>13040000000</v>
      </c>
      <c r="E81" s="27">
        <v>16672200000</v>
      </c>
      <c r="F81">
        <v>33429200000</v>
      </c>
      <c r="G81" s="21">
        <f t="shared" si="0"/>
        <v>3.6966955153422503</v>
      </c>
      <c r="H81" s="36">
        <f t="shared" si="5"/>
        <v>8.5744270731570068E+34</v>
      </c>
      <c r="I81" s="36">
        <f t="shared" si="6"/>
        <v>761.06044787994745</v>
      </c>
      <c r="K81" s="28" t="s">
        <v>330</v>
      </c>
    </row>
    <row r="82" spans="1:11" x14ac:dyDescent="0.25">
      <c r="A82" s="1">
        <v>16965</v>
      </c>
      <c r="B82">
        <v>248350500000</v>
      </c>
      <c r="C82">
        <v>323374600000</v>
      </c>
      <c r="D82">
        <v>139635700000</v>
      </c>
      <c r="E82" s="27">
        <v>91444400000</v>
      </c>
      <c r="F82">
        <v>220898000000</v>
      </c>
      <c r="G82" s="21">
        <f t="shared" si="0"/>
        <v>5.6079355772797435</v>
      </c>
      <c r="H82" s="36">
        <f t="shared" si="5"/>
        <v>4.3996853046574767E+42</v>
      </c>
      <c r="I82" s="36">
        <f t="shared" si="6"/>
        <v>3295.7216725141957</v>
      </c>
    </row>
    <row r="83" spans="1:11" x14ac:dyDescent="0.25">
      <c r="A83" s="1">
        <v>16972</v>
      </c>
      <c r="B83">
        <v>6005400000000</v>
      </c>
      <c r="C83">
        <v>5132100000000</v>
      </c>
      <c r="D83">
        <v>2900400000000</v>
      </c>
      <c r="E83" s="27">
        <v>2163600000000</v>
      </c>
      <c r="F83">
        <v>4970200000000</v>
      </c>
      <c r="G83" s="21">
        <f t="shared" si="0"/>
        <v>21.499977365118742</v>
      </c>
      <c r="H83" s="36">
        <f t="shared" si="5"/>
        <v>2.0581082952054587E+70</v>
      </c>
      <c r="I83" s="36">
        <f t="shared" si="6"/>
        <v>632208.66137275926</v>
      </c>
      <c r="K83" s="28" t="s">
        <v>331</v>
      </c>
    </row>
    <row r="84" spans="1:11" x14ac:dyDescent="0.25">
      <c r="A84" s="1">
        <v>16979</v>
      </c>
      <c r="B84">
        <v>152502400000000</v>
      </c>
      <c r="C84">
        <v>75655200000000</v>
      </c>
      <c r="D84">
        <v>95744400000000</v>
      </c>
      <c r="E84" s="27">
        <v>97859700000000</v>
      </c>
      <c r="F84">
        <v>128915600000000</v>
      </c>
      <c r="G84" s="21">
        <f t="shared" si="0"/>
        <v>24.937708744114925</v>
      </c>
      <c r="H84" s="36">
        <f t="shared" si="5"/>
        <v>3.3453663173715114E+73</v>
      </c>
      <c r="I84" s="36">
        <f t="shared" si="6"/>
        <v>1163499.5785984895</v>
      </c>
    </row>
    <row r="85" spans="1:11" x14ac:dyDescent="0.25">
      <c r="A85" s="1">
        <v>16986</v>
      </c>
      <c r="B85">
        <v>75900000000000</v>
      </c>
      <c r="C85">
        <v>94500000000000</v>
      </c>
      <c r="D85">
        <v>23900000000000</v>
      </c>
      <c r="E85" s="27">
        <v>40900000000000</v>
      </c>
      <c r="F85">
        <v>66900000000000</v>
      </c>
      <c r="G85" s="21">
        <f t="shared" si="0"/>
        <v>-0.48105582256918478</v>
      </c>
      <c r="H85" s="36">
        <f>(F85/F84)^60.83-1</f>
        <v>-1</v>
      </c>
      <c r="I85" s="36">
        <f>(F85/F84)^5-1</f>
        <v>-0.96236402099528695</v>
      </c>
      <c r="K85" s="28" t="s">
        <v>332</v>
      </c>
    </row>
    <row r="86" spans="1:11" x14ac:dyDescent="0.25">
      <c r="A86" s="1">
        <v>16993</v>
      </c>
      <c r="B86" s="3">
        <v>3.0383E+17</v>
      </c>
      <c r="C86">
        <v>2.393E+17</v>
      </c>
      <c r="D86">
        <v>1.116E+17</v>
      </c>
      <c r="E86" s="27">
        <v>1.146E+17</v>
      </c>
      <c r="F86">
        <v>2.459E+17</v>
      </c>
      <c r="G86" s="21">
        <f t="shared" si="0"/>
        <v>3674.6352765321376</v>
      </c>
      <c r="H86" s="36">
        <f>(F86/F85)^52-1</f>
        <v>2.4962344384233146E+185</v>
      </c>
      <c r="I86" s="36">
        <f>(F86/F85)^4.29-1</f>
        <v>1973676831467988</v>
      </c>
    </row>
    <row r="87" spans="1:11" x14ac:dyDescent="0.25">
      <c r="A87" s="1">
        <v>17000</v>
      </c>
      <c r="B87">
        <v>1.9309E+18</v>
      </c>
      <c r="C87">
        <v>5.674E+17</v>
      </c>
      <c r="D87">
        <v>6.138E+17</v>
      </c>
      <c r="E87" s="27">
        <v>5.808E+17</v>
      </c>
      <c r="F87">
        <v>1.1916E+18</v>
      </c>
      <c r="G87" s="21">
        <f t="shared" si="0"/>
        <v>3.8458723058153721</v>
      </c>
      <c r="H87" s="36">
        <f>(F87/F86)^52-1</f>
        <v>4.3585519005506967E+35</v>
      </c>
      <c r="I87" s="36">
        <f>(F87/F86)^4.29-1</f>
        <v>870.4565396198924</v>
      </c>
      <c r="K87" s="28" t="s">
        <v>333</v>
      </c>
    </row>
    <row r="88" spans="1:11" x14ac:dyDescent="0.25">
      <c r="A88" s="1">
        <v>17007</v>
      </c>
      <c r="B88">
        <v>4.1336999999999999E+21</v>
      </c>
      <c r="C88">
        <v>4.1212999999999999E+21</v>
      </c>
      <c r="D88">
        <v>2.1658E+21</v>
      </c>
      <c r="E88" s="27">
        <v>1.6124999999999999E+21</v>
      </c>
      <c r="F88">
        <v>3.5270008000000001E+21</v>
      </c>
      <c r="G88" s="21">
        <f t="shared" si="0"/>
        <v>2958.8865391070831</v>
      </c>
      <c r="H88" s="36">
        <f>(F88/F87)^52-1</f>
        <v>3.2085093473354556E+180</v>
      </c>
      <c r="I88" s="36">
        <f>(F88/F87)^4.29-1</f>
        <v>779417267313358.75</v>
      </c>
    </row>
    <row r="89" spans="1:11" x14ac:dyDescent="0.25">
      <c r="E89" s="27"/>
    </row>
    <row r="90" spans="1:11" x14ac:dyDescent="0.25">
      <c r="E90" s="27"/>
    </row>
    <row r="91" spans="1:11" x14ac:dyDescent="0.25">
      <c r="E91" s="27"/>
    </row>
    <row r="92" spans="1:11" x14ac:dyDescent="0.25">
      <c r="E92" s="27"/>
    </row>
    <row r="93" spans="1:11" x14ac:dyDescent="0.25">
      <c r="E93" s="27"/>
    </row>
    <row r="94" spans="1:11" x14ac:dyDescent="0.25">
      <c r="E94" s="27"/>
    </row>
    <row r="95" spans="1:11" x14ac:dyDescent="0.25">
      <c r="E95" s="27"/>
    </row>
    <row r="96" spans="1:11" x14ac:dyDescent="0.25">
      <c r="E96" s="27"/>
    </row>
    <row r="97" spans="5:5" x14ac:dyDescent="0.25">
      <c r="E97" s="27"/>
    </row>
    <row r="98" spans="5:5" x14ac:dyDescent="0.25">
      <c r="E98" s="27"/>
    </row>
    <row r="99" spans="5:5" x14ac:dyDescent="0.25">
      <c r="E99" s="27"/>
    </row>
    <row r="100" spans="5:5" x14ac:dyDescent="0.25">
      <c r="E100" s="27"/>
    </row>
    <row r="101" spans="5:5" x14ac:dyDescent="0.25">
      <c r="E101" s="27"/>
    </row>
    <row r="102" spans="5:5" x14ac:dyDescent="0.25">
      <c r="E102" s="27"/>
    </row>
    <row r="103" spans="5:5" x14ac:dyDescent="0.25">
      <c r="E103" s="27"/>
    </row>
    <row r="104" spans="5:5" x14ac:dyDescent="0.25">
      <c r="E104" s="27"/>
    </row>
    <row r="105" spans="5:5" x14ac:dyDescent="0.25">
      <c r="E105" s="27"/>
    </row>
    <row r="106" spans="5:5" x14ac:dyDescent="0.25">
      <c r="E106" s="27"/>
    </row>
    <row r="107" spans="5:5" x14ac:dyDescent="0.25">
      <c r="E107" s="27"/>
    </row>
    <row r="108" spans="5:5" x14ac:dyDescent="0.25">
      <c r="E108" s="27"/>
    </row>
    <row r="109" spans="5:5" x14ac:dyDescent="0.25">
      <c r="E109" s="27"/>
    </row>
    <row r="110" spans="5:5" x14ac:dyDescent="0.25">
      <c r="E110" s="27"/>
    </row>
    <row r="111" spans="5:5" x14ac:dyDescent="0.25">
      <c r="E111" s="27"/>
    </row>
    <row r="112" spans="5:5" x14ac:dyDescent="0.25">
      <c r="E112" s="27"/>
    </row>
    <row r="113" spans="5:5" x14ac:dyDescent="0.25">
      <c r="E113" s="27"/>
    </row>
    <row r="114" spans="5:5" x14ac:dyDescent="0.25">
      <c r="E114" s="27"/>
    </row>
    <row r="115" spans="5:5" x14ac:dyDescent="0.25">
      <c r="E115" s="27"/>
    </row>
    <row r="116" spans="5:5" x14ac:dyDescent="0.25">
      <c r="E116" s="27"/>
    </row>
    <row r="117" spans="5:5" x14ac:dyDescent="0.25">
      <c r="E117" s="27"/>
    </row>
    <row r="118" spans="5:5" x14ac:dyDescent="0.25">
      <c r="E118" s="27"/>
    </row>
    <row r="119" spans="5:5" x14ac:dyDescent="0.25">
      <c r="E119" s="27"/>
    </row>
    <row r="120" spans="5:5" x14ac:dyDescent="0.25">
      <c r="E120" s="27"/>
    </row>
    <row r="121" spans="5:5" x14ac:dyDescent="0.25">
      <c r="E121" s="27"/>
    </row>
    <row r="122" spans="5:5" x14ac:dyDescent="0.25">
      <c r="E122" s="27"/>
    </row>
    <row r="123" spans="5:5" x14ac:dyDescent="0.25">
      <c r="E123" s="27"/>
    </row>
    <row r="124" spans="5:5" x14ac:dyDescent="0.25">
      <c r="E124" s="27"/>
    </row>
    <row r="125" spans="5:5" x14ac:dyDescent="0.25">
      <c r="E125" s="27"/>
    </row>
    <row r="126" spans="5:5" x14ac:dyDescent="0.25">
      <c r="E126" s="27"/>
    </row>
    <row r="127" spans="5:5" x14ac:dyDescent="0.25">
      <c r="E127" s="27"/>
    </row>
    <row r="128" spans="5:5" x14ac:dyDescent="0.25">
      <c r="E128" s="27"/>
    </row>
    <row r="129" spans="5:5" x14ac:dyDescent="0.25">
      <c r="E129" s="27"/>
    </row>
    <row r="130" spans="5:5" x14ac:dyDescent="0.25">
      <c r="E130" s="27"/>
    </row>
    <row r="131" spans="5:5" x14ac:dyDescent="0.25">
      <c r="E131" s="27"/>
    </row>
    <row r="132" spans="5:5" x14ac:dyDescent="0.25">
      <c r="E132" s="27"/>
    </row>
    <row r="133" spans="5:5" x14ac:dyDescent="0.25">
      <c r="E133" s="27"/>
    </row>
    <row r="134" spans="5:5" x14ac:dyDescent="0.25">
      <c r="E134" s="27"/>
    </row>
    <row r="135" spans="5:5" x14ac:dyDescent="0.25">
      <c r="E135" s="27"/>
    </row>
    <row r="136" spans="5:5" x14ac:dyDescent="0.25">
      <c r="E136" s="27"/>
    </row>
    <row r="137" spans="5:5" x14ac:dyDescent="0.25">
      <c r="E137" s="27"/>
    </row>
    <row r="138" spans="5:5" x14ac:dyDescent="0.25">
      <c r="E138" s="27"/>
    </row>
    <row r="139" spans="5:5" x14ac:dyDescent="0.25">
      <c r="E139" s="27"/>
    </row>
    <row r="140" spans="5:5" x14ac:dyDescent="0.25">
      <c r="E140" s="27"/>
    </row>
    <row r="141" spans="5:5" x14ac:dyDescent="0.25">
      <c r="E141" s="27"/>
    </row>
    <row r="142" spans="5:5" x14ac:dyDescent="0.25">
      <c r="E142" s="27"/>
    </row>
    <row r="143" spans="5:5" x14ac:dyDescent="0.25">
      <c r="E143" s="27"/>
    </row>
    <row r="144" spans="5:5" x14ac:dyDescent="0.25">
      <c r="E144" s="27"/>
    </row>
    <row r="145" spans="5:5" x14ac:dyDescent="0.25">
      <c r="E145" s="27"/>
    </row>
    <row r="146" spans="5:5" x14ac:dyDescent="0.25">
      <c r="E146" s="27"/>
    </row>
    <row r="147" spans="5:5" x14ac:dyDescent="0.25">
      <c r="E147" s="27"/>
    </row>
    <row r="148" spans="5:5" x14ac:dyDescent="0.25">
      <c r="E148" s="27"/>
    </row>
    <row r="149" spans="5:5" x14ac:dyDescent="0.25">
      <c r="E149" s="27"/>
    </row>
    <row r="150" spans="5:5" x14ac:dyDescent="0.25">
      <c r="E150" s="27"/>
    </row>
    <row r="151" spans="5:5" x14ac:dyDescent="0.25">
      <c r="E151" s="27"/>
    </row>
    <row r="152" spans="5:5" x14ac:dyDescent="0.25">
      <c r="E152" s="27"/>
    </row>
    <row r="153" spans="5:5" x14ac:dyDescent="0.25">
      <c r="E153" s="27"/>
    </row>
    <row r="154" spans="5:5" x14ac:dyDescent="0.25">
      <c r="E154" s="27"/>
    </row>
    <row r="155" spans="5:5" x14ac:dyDescent="0.25">
      <c r="E155" s="27"/>
    </row>
    <row r="156" spans="5:5" x14ac:dyDescent="0.25">
      <c r="E156" s="27"/>
    </row>
    <row r="157" spans="5:5" x14ac:dyDescent="0.25">
      <c r="E157" s="27"/>
    </row>
    <row r="158" spans="5:5" x14ac:dyDescent="0.25">
      <c r="E158" s="27"/>
    </row>
    <row r="159" spans="5:5" x14ac:dyDescent="0.25">
      <c r="E159" s="27"/>
    </row>
    <row r="160" spans="5:5" x14ac:dyDescent="0.25">
      <c r="E160" s="27"/>
    </row>
    <row r="161" spans="5:5" x14ac:dyDescent="0.25">
      <c r="E161" s="27"/>
    </row>
    <row r="162" spans="5:5" x14ac:dyDescent="0.25">
      <c r="E162" s="27"/>
    </row>
    <row r="163" spans="5:5" x14ac:dyDescent="0.25">
      <c r="E163" s="27"/>
    </row>
    <row r="164" spans="5:5" x14ac:dyDescent="0.25">
      <c r="E164" s="27"/>
    </row>
    <row r="165" spans="5:5" x14ac:dyDescent="0.25">
      <c r="E165" s="27"/>
    </row>
    <row r="166" spans="5:5" x14ac:dyDescent="0.25">
      <c r="E166" s="27"/>
    </row>
    <row r="167" spans="5:5" x14ac:dyDescent="0.25">
      <c r="E167" s="27"/>
    </row>
    <row r="168" spans="5:5" x14ac:dyDescent="0.25">
      <c r="E168" s="27"/>
    </row>
    <row r="169" spans="5:5" x14ac:dyDescent="0.25">
      <c r="E169" s="27"/>
    </row>
    <row r="170" spans="5:5" x14ac:dyDescent="0.25">
      <c r="E170" s="27"/>
    </row>
    <row r="171" spans="5:5" x14ac:dyDescent="0.25">
      <c r="E171" s="27"/>
    </row>
    <row r="172" spans="5:5" x14ac:dyDescent="0.25">
      <c r="E172" s="27"/>
    </row>
    <row r="173" spans="5:5" x14ac:dyDescent="0.25">
      <c r="E173" s="27"/>
    </row>
    <row r="174" spans="5:5" x14ac:dyDescent="0.25">
      <c r="E174" s="27"/>
    </row>
    <row r="175" spans="5:5" x14ac:dyDescent="0.25">
      <c r="E175" s="27"/>
    </row>
    <row r="176" spans="5:5" x14ac:dyDescent="0.25">
      <c r="E176" s="27"/>
    </row>
    <row r="177" spans="5:5" x14ac:dyDescent="0.25">
      <c r="E177" s="27"/>
    </row>
    <row r="178" spans="5:5" x14ac:dyDescent="0.25">
      <c r="E178" s="27"/>
    </row>
    <row r="179" spans="5:5" x14ac:dyDescent="0.25">
      <c r="E179" s="27"/>
    </row>
    <row r="180" spans="5:5" x14ac:dyDescent="0.25">
      <c r="E180" s="27"/>
    </row>
    <row r="181" spans="5:5" x14ac:dyDescent="0.25">
      <c r="E181" s="27"/>
    </row>
    <row r="182" spans="5:5" x14ac:dyDescent="0.25">
      <c r="E182" s="27"/>
    </row>
    <row r="183" spans="5:5" x14ac:dyDescent="0.25">
      <c r="E183" s="27"/>
    </row>
    <row r="184" spans="5:5" x14ac:dyDescent="0.25">
      <c r="E184" s="27"/>
    </row>
    <row r="185" spans="5:5" x14ac:dyDescent="0.25">
      <c r="E185" s="27"/>
    </row>
    <row r="186" spans="5:5" x14ac:dyDescent="0.25">
      <c r="E186" s="27"/>
    </row>
    <row r="187" spans="5:5" x14ac:dyDescent="0.25">
      <c r="E187" s="27"/>
    </row>
    <row r="188" spans="5:5" x14ac:dyDescent="0.25">
      <c r="E188" s="27"/>
    </row>
    <row r="189" spans="5:5" x14ac:dyDescent="0.25">
      <c r="E189" s="27"/>
    </row>
    <row r="190" spans="5:5" x14ac:dyDescent="0.25">
      <c r="E190" s="27"/>
    </row>
    <row r="191" spans="5:5" x14ac:dyDescent="0.25">
      <c r="E191" s="27"/>
    </row>
    <row r="192" spans="5:5" x14ac:dyDescent="0.25">
      <c r="E192" s="27"/>
    </row>
    <row r="193" spans="5:5" x14ac:dyDescent="0.25">
      <c r="E193" s="27"/>
    </row>
    <row r="194" spans="5:5" x14ac:dyDescent="0.25">
      <c r="E194" s="27"/>
    </row>
    <row r="195" spans="5:5" x14ac:dyDescent="0.25">
      <c r="E195" s="27"/>
    </row>
    <row r="196" spans="5:5" x14ac:dyDescent="0.25">
      <c r="E196" s="27"/>
    </row>
    <row r="197" spans="5:5" x14ac:dyDescent="0.25">
      <c r="E197" s="27"/>
    </row>
    <row r="198" spans="5:5" x14ac:dyDescent="0.25">
      <c r="E198" s="27"/>
    </row>
    <row r="199" spans="5:5" x14ac:dyDescent="0.25">
      <c r="E199" s="27"/>
    </row>
    <row r="200" spans="5:5" x14ac:dyDescent="0.25">
      <c r="E200" s="27"/>
    </row>
    <row r="201" spans="5:5" x14ac:dyDescent="0.25">
      <c r="E201" s="27"/>
    </row>
    <row r="202" spans="5:5" x14ac:dyDescent="0.25">
      <c r="E202" s="27"/>
    </row>
    <row r="203" spans="5:5" x14ac:dyDescent="0.25">
      <c r="E203" s="27"/>
    </row>
    <row r="204" spans="5:5" x14ac:dyDescent="0.25">
      <c r="E204" s="27"/>
    </row>
    <row r="205" spans="5:5" x14ac:dyDescent="0.25">
      <c r="E205" s="27"/>
    </row>
    <row r="206" spans="5:5" x14ac:dyDescent="0.25">
      <c r="E206" s="27"/>
    </row>
    <row r="207" spans="5:5" x14ac:dyDescent="0.25">
      <c r="E207" s="27"/>
    </row>
    <row r="208" spans="5:5" x14ac:dyDescent="0.25">
      <c r="E208" s="27"/>
    </row>
    <row r="209" spans="5:5" x14ac:dyDescent="0.25">
      <c r="E209" s="27"/>
    </row>
    <row r="210" spans="5:5" x14ac:dyDescent="0.25">
      <c r="E210" s="27"/>
    </row>
    <row r="211" spans="5:5" x14ac:dyDescent="0.25">
      <c r="E211" s="27"/>
    </row>
    <row r="212" spans="5:5" x14ac:dyDescent="0.25">
      <c r="E212" s="27"/>
    </row>
    <row r="213" spans="5:5" x14ac:dyDescent="0.25">
      <c r="E213" s="27"/>
    </row>
    <row r="214" spans="5:5" x14ac:dyDescent="0.25">
      <c r="E214" s="27"/>
    </row>
    <row r="215" spans="5:5" x14ac:dyDescent="0.25">
      <c r="E215" s="27"/>
    </row>
    <row r="216" spans="5:5" x14ac:dyDescent="0.25">
      <c r="E216" s="27"/>
    </row>
    <row r="217" spans="5:5" x14ac:dyDescent="0.25">
      <c r="E217" s="27"/>
    </row>
    <row r="218" spans="5:5" x14ac:dyDescent="0.25">
      <c r="E218" s="27"/>
    </row>
    <row r="219" spans="5:5" x14ac:dyDescent="0.25">
      <c r="E219" s="27"/>
    </row>
    <row r="220" spans="5:5" x14ac:dyDescent="0.25">
      <c r="E220" s="27"/>
    </row>
    <row r="221" spans="5:5" x14ac:dyDescent="0.25">
      <c r="E221" s="27"/>
    </row>
    <row r="222" spans="5:5" x14ac:dyDescent="0.25">
      <c r="E222" s="27"/>
    </row>
    <row r="223" spans="5:5" x14ac:dyDescent="0.25">
      <c r="E223" s="27"/>
    </row>
    <row r="224" spans="5:5" x14ac:dyDescent="0.25">
      <c r="E224" s="27"/>
    </row>
    <row r="225" spans="5:5" x14ac:dyDescent="0.25">
      <c r="E225" s="27"/>
    </row>
    <row r="226" spans="5:5" x14ac:dyDescent="0.25">
      <c r="E226" s="27"/>
    </row>
    <row r="227" spans="5:5" x14ac:dyDescent="0.25">
      <c r="E227" s="27"/>
    </row>
    <row r="228" spans="5:5" x14ac:dyDescent="0.25">
      <c r="E228" s="27"/>
    </row>
    <row r="229" spans="5:5" x14ac:dyDescent="0.25">
      <c r="E229" s="27"/>
    </row>
    <row r="230" spans="5:5" x14ac:dyDescent="0.25">
      <c r="E230" s="27"/>
    </row>
    <row r="231" spans="5:5" x14ac:dyDescent="0.25">
      <c r="E231" s="27"/>
    </row>
    <row r="232" spans="5:5" x14ac:dyDescent="0.25">
      <c r="E232" s="27"/>
    </row>
    <row r="233" spans="5:5" x14ac:dyDescent="0.25">
      <c r="E233" s="27"/>
    </row>
    <row r="234" spans="5:5" x14ac:dyDescent="0.25">
      <c r="E234" s="27"/>
    </row>
    <row r="235" spans="5:5" x14ac:dyDescent="0.25">
      <c r="E235" s="27"/>
    </row>
    <row r="236" spans="5:5" x14ac:dyDescent="0.25">
      <c r="E236" s="27"/>
    </row>
    <row r="237" spans="5:5" x14ac:dyDescent="0.25">
      <c r="E237" s="27"/>
    </row>
    <row r="238" spans="5:5" x14ac:dyDescent="0.25">
      <c r="E238" s="27"/>
    </row>
    <row r="239" spans="5:5" x14ac:dyDescent="0.25">
      <c r="E239" s="27"/>
    </row>
    <row r="240" spans="5:5" x14ac:dyDescent="0.25">
      <c r="E240" s="27"/>
    </row>
    <row r="241" spans="5:5" x14ac:dyDescent="0.25">
      <c r="E241" s="27"/>
    </row>
    <row r="242" spans="5:5" x14ac:dyDescent="0.25">
      <c r="E242" s="27"/>
    </row>
    <row r="243" spans="5:5" x14ac:dyDescent="0.25">
      <c r="E243" s="27"/>
    </row>
    <row r="244" spans="5:5" x14ac:dyDescent="0.25">
      <c r="E244" s="27"/>
    </row>
    <row r="245" spans="5:5" x14ac:dyDescent="0.25">
      <c r="E245" s="27"/>
    </row>
    <row r="246" spans="5:5" x14ac:dyDescent="0.25">
      <c r="E246" s="27"/>
    </row>
    <row r="247" spans="5:5" x14ac:dyDescent="0.25">
      <c r="E247" s="27"/>
    </row>
    <row r="248" spans="5:5" x14ac:dyDescent="0.25">
      <c r="E248" s="27"/>
    </row>
    <row r="249" spans="5:5" x14ac:dyDescent="0.25">
      <c r="E249" s="27"/>
    </row>
    <row r="250" spans="5:5" x14ac:dyDescent="0.25">
      <c r="E250" s="27"/>
    </row>
    <row r="251" spans="5:5" x14ac:dyDescent="0.25">
      <c r="E251" s="27"/>
    </row>
    <row r="252" spans="5:5" x14ac:dyDescent="0.25">
      <c r="E252" s="27"/>
    </row>
    <row r="253" spans="5:5" x14ac:dyDescent="0.25">
      <c r="E253" s="27"/>
    </row>
    <row r="254" spans="5:5" x14ac:dyDescent="0.25">
      <c r="E254" s="27"/>
    </row>
    <row r="255" spans="5:5" x14ac:dyDescent="0.25">
      <c r="E255" s="27"/>
    </row>
    <row r="256" spans="5:5" x14ac:dyDescent="0.25">
      <c r="E256" s="27"/>
    </row>
    <row r="257" spans="5:5" x14ac:dyDescent="0.25">
      <c r="E257" s="27"/>
    </row>
    <row r="258" spans="5:5" x14ac:dyDescent="0.25">
      <c r="E258" s="27"/>
    </row>
    <row r="259" spans="5:5" x14ac:dyDescent="0.25">
      <c r="E259" s="27"/>
    </row>
    <row r="260" spans="5:5" x14ac:dyDescent="0.25">
      <c r="E260" s="27"/>
    </row>
    <row r="261" spans="5:5" x14ac:dyDescent="0.25">
      <c r="E261" s="27"/>
    </row>
    <row r="262" spans="5:5" x14ac:dyDescent="0.25">
      <c r="E262" s="27"/>
    </row>
    <row r="263" spans="5:5" x14ac:dyDescent="0.25">
      <c r="E263" s="27"/>
    </row>
    <row r="264" spans="5:5" x14ac:dyDescent="0.25">
      <c r="E264" s="27"/>
    </row>
    <row r="265" spans="5:5" x14ac:dyDescent="0.25">
      <c r="E265" s="27"/>
    </row>
    <row r="266" spans="5:5" x14ac:dyDescent="0.25">
      <c r="E266" s="27"/>
    </row>
    <row r="267" spans="5:5" x14ac:dyDescent="0.25">
      <c r="E267" s="27"/>
    </row>
    <row r="268" spans="5:5" x14ac:dyDescent="0.25">
      <c r="E268" s="27"/>
    </row>
    <row r="269" spans="5:5" x14ac:dyDescent="0.25">
      <c r="E269" s="27"/>
    </row>
    <row r="270" spans="5:5" x14ac:dyDescent="0.25">
      <c r="E270" s="27"/>
    </row>
    <row r="271" spans="5:5" x14ac:dyDescent="0.25">
      <c r="E271" s="27"/>
    </row>
    <row r="272" spans="5:5" x14ac:dyDescent="0.25">
      <c r="E272" s="27"/>
    </row>
    <row r="273" spans="5:5" x14ac:dyDescent="0.25">
      <c r="E273" s="27"/>
    </row>
    <row r="274" spans="5:5" x14ac:dyDescent="0.25">
      <c r="E274" s="27"/>
    </row>
    <row r="275" spans="5:5" x14ac:dyDescent="0.25">
      <c r="E275" s="27"/>
    </row>
    <row r="276" spans="5:5" x14ac:dyDescent="0.25">
      <c r="E276" s="27"/>
    </row>
    <row r="277" spans="5:5" x14ac:dyDescent="0.25">
      <c r="E277" s="27"/>
    </row>
    <row r="278" spans="5:5" x14ac:dyDescent="0.25">
      <c r="E278" s="27"/>
    </row>
    <row r="279" spans="5:5" x14ac:dyDescent="0.25">
      <c r="E279" s="27"/>
    </row>
    <row r="280" spans="5:5" x14ac:dyDescent="0.25">
      <c r="E280" s="27"/>
    </row>
    <row r="281" spans="5:5" x14ac:dyDescent="0.25">
      <c r="E281" s="27"/>
    </row>
    <row r="282" spans="5:5" x14ac:dyDescent="0.25">
      <c r="E282" s="27"/>
    </row>
    <row r="283" spans="5:5" x14ac:dyDescent="0.25">
      <c r="E283" s="27"/>
    </row>
    <row r="284" spans="5:5" x14ac:dyDescent="0.25">
      <c r="E284" s="27"/>
    </row>
    <row r="285" spans="5:5" x14ac:dyDescent="0.25">
      <c r="E285" s="27"/>
    </row>
    <row r="286" spans="5:5" x14ac:dyDescent="0.25">
      <c r="E286" s="27"/>
    </row>
    <row r="287" spans="5:5" x14ac:dyDescent="0.25">
      <c r="E287" s="27"/>
    </row>
    <row r="288" spans="5:5" x14ac:dyDescent="0.25">
      <c r="E288" s="27"/>
    </row>
    <row r="289" spans="5:5" x14ac:dyDescent="0.25">
      <c r="E289" s="27"/>
    </row>
    <row r="290" spans="5:5" x14ac:dyDescent="0.25">
      <c r="E290" s="27"/>
    </row>
    <row r="291" spans="5:5" x14ac:dyDescent="0.25">
      <c r="E291" s="27"/>
    </row>
    <row r="292" spans="5:5" x14ac:dyDescent="0.25">
      <c r="E292" s="27"/>
    </row>
    <row r="293" spans="5:5" x14ac:dyDescent="0.25">
      <c r="E293" s="27"/>
    </row>
    <row r="294" spans="5:5" x14ac:dyDescent="0.25">
      <c r="E294" s="27"/>
    </row>
    <row r="295" spans="5:5" x14ac:dyDescent="0.25">
      <c r="E295" s="27"/>
    </row>
    <row r="296" spans="5:5" x14ac:dyDescent="0.25">
      <c r="E296" s="27"/>
    </row>
    <row r="297" spans="5:5" x14ac:dyDescent="0.25">
      <c r="E297" s="27"/>
    </row>
    <row r="298" spans="5:5" x14ac:dyDescent="0.25">
      <c r="E298" s="27"/>
    </row>
    <row r="299" spans="5:5" x14ac:dyDescent="0.25">
      <c r="E299" s="27"/>
    </row>
    <row r="300" spans="5:5" x14ac:dyDescent="0.25">
      <c r="E300" s="27"/>
    </row>
    <row r="301" spans="5:5" x14ac:dyDescent="0.25">
      <c r="E301" s="27"/>
    </row>
    <row r="302" spans="5:5" x14ac:dyDescent="0.25">
      <c r="E302" s="27"/>
    </row>
    <row r="303" spans="5:5" x14ac:dyDescent="0.25">
      <c r="E303" s="27"/>
    </row>
    <row r="304" spans="5:5" x14ac:dyDescent="0.25">
      <c r="E304" s="27"/>
    </row>
    <row r="305" spans="5:5" x14ac:dyDescent="0.25">
      <c r="E305" s="27"/>
    </row>
    <row r="306" spans="5:5" x14ac:dyDescent="0.25">
      <c r="E306" s="27"/>
    </row>
    <row r="307" spans="5:5" x14ac:dyDescent="0.25">
      <c r="E307" s="27"/>
    </row>
  </sheetData>
  <mergeCells count="2">
    <mergeCell ref="K42:L42"/>
    <mergeCell ref="L2:N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80" zoomScaleNormal="80" workbookViewId="0"/>
  </sheetViews>
  <sheetFormatPr defaultRowHeight="15" x14ac:dyDescent="0.25"/>
  <cols>
    <col min="1" max="1" width="12.42578125" customWidth="1"/>
    <col min="2" max="2" width="21.42578125" customWidth="1"/>
    <col min="3" max="3" width="15.42578125" customWidth="1"/>
    <col min="4" max="4" width="15.140625" customWidth="1"/>
  </cols>
  <sheetData>
    <row r="1" spans="1:3" x14ac:dyDescent="0.25">
      <c r="A1" t="s">
        <v>334</v>
      </c>
    </row>
    <row r="2" spans="1:3" x14ac:dyDescent="0.25">
      <c r="A2" t="s">
        <v>335</v>
      </c>
    </row>
    <row r="3" spans="1:3" x14ac:dyDescent="0.25">
      <c r="B3" t="s">
        <v>336</v>
      </c>
      <c r="C3" t="s">
        <v>25</v>
      </c>
    </row>
    <row r="4" spans="1:3" x14ac:dyDescent="0.25">
      <c r="A4" s="7">
        <v>13881</v>
      </c>
      <c r="B4">
        <v>100</v>
      </c>
      <c r="C4">
        <v>100</v>
      </c>
    </row>
    <row r="5" spans="1:3" x14ac:dyDescent="0.25">
      <c r="A5" s="7">
        <v>14246</v>
      </c>
      <c r="B5">
        <v>96</v>
      </c>
      <c r="C5">
        <v>170</v>
      </c>
    </row>
    <row r="6" spans="1:3" x14ac:dyDescent="0.25">
      <c r="A6" s="7">
        <v>14611</v>
      </c>
      <c r="B6">
        <v>99.1</v>
      </c>
      <c r="C6">
        <v>183.7</v>
      </c>
    </row>
    <row r="7" spans="1:3" x14ac:dyDescent="0.25">
      <c r="A7" s="7">
        <v>14977</v>
      </c>
      <c r="B7">
        <v>116.9</v>
      </c>
      <c r="C7">
        <v>210.2</v>
      </c>
    </row>
    <row r="8" spans="1:3" x14ac:dyDescent="0.25">
      <c r="A8" s="7">
        <v>15342</v>
      </c>
      <c r="B8">
        <v>149</v>
      </c>
      <c r="C8">
        <v>287.89999999999998</v>
      </c>
    </row>
    <row r="9" spans="1:3" x14ac:dyDescent="0.25">
      <c r="A9" s="7">
        <v>15707</v>
      </c>
      <c r="B9">
        <v>160.80000000000001</v>
      </c>
      <c r="C9">
        <v>431.8</v>
      </c>
    </row>
    <row r="10" spans="1:3" x14ac:dyDescent="0.25">
      <c r="A10" s="7">
        <v>16072</v>
      </c>
      <c r="B10">
        <v>239.5</v>
      </c>
      <c r="C10">
        <v>635.79999999999995</v>
      </c>
    </row>
    <row r="11" spans="1:3" x14ac:dyDescent="0.25">
      <c r="A11" s="7">
        <v>16377</v>
      </c>
      <c r="B11">
        <v>241.8</v>
      </c>
      <c r="C11">
        <v>1550.4</v>
      </c>
    </row>
    <row r="16" spans="1:3" x14ac:dyDescent="0.25">
      <c r="A16" t="s">
        <v>337</v>
      </c>
    </row>
    <row r="17" spans="1:3" ht="43.5" customHeight="1" x14ac:dyDescent="0.25">
      <c r="B17" s="5" t="s">
        <v>338</v>
      </c>
      <c r="C17" s="5" t="s">
        <v>339</v>
      </c>
    </row>
    <row r="18" spans="1:3" x14ac:dyDescent="0.25">
      <c r="A18" s="7">
        <v>16650</v>
      </c>
      <c r="B18">
        <v>49.5</v>
      </c>
      <c r="C18">
        <v>56.5</v>
      </c>
    </row>
    <row r="19" spans="1:3" x14ac:dyDescent="0.25">
      <c r="A19" s="7">
        <v>16681</v>
      </c>
      <c r="B19">
        <v>71.7</v>
      </c>
      <c r="C19">
        <v>69.3</v>
      </c>
    </row>
    <row r="20" spans="1:3" x14ac:dyDescent="0.25">
      <c r="A20" s="7">
        <v>16711</v>
      </c>
      <c r="B20">
        <v>154.9</v>
      </c>
      <c r="C20">
        <v>43.9</v>
      </c>
    </row>
    <row r="21" spans="1:3" x14ac:dyDescent="0.25">
      <c r="A21" s="7">
        <v>16742</v>
      </c>
      <c r="B21">
        <v>232.7</v>
      </c>
      <c r="C21">
        <v>27.3</v>
      </c>
    </row>
    <row r="22" spans="1:3" x14ac:dyDescent="0.25">
      <c r="A22" s="7">
        <v>16772</v>
      </c>
      <c r="B22">
        <v>115.3</v>
      </c>
      <c r="C22">
        <v>13.5</v>
      </c>
    </row>
    <row r="23" spans="1:3" x14ac:dyDescent="0.25">
      <c r="A23" s="7">
        <v>16803</v>
      </c>
      <c r="B23">
        <v>115.1</v>
      </c>
      <c r="C23">
        <v>14.8</v>
      </c>
    </row>
    <row r="24" spans="1:3" x14ac:dyDescent="0.25">
      <c r="A24" s="7">
        <v>16834</v>
      </c>
      <c r="B24">
        <v>218.1</v>
      </c>
      <c r="C24">
        <v>14.9</v>
      </c>
    </row>
    <row r="25" spans="1:3" x14ac:dyDescent="0.25">
      <c r="A25" s="7">
        <v>16862</v>
      </c>
      <c r="B25">
        <v>549.20000000000005</v>
      </c>
      <c r="C25">
        <v>26.9</v>
      </c>
    </row>
    <row r="26" spans="1:3" x14ac:dyDescent="0.25">
      <c r="A26" s="7">
        <v>16893</v>
      </c>
      <c r="B26">
        <v>1177.3</v>
      </c>
      <c r="C26">
        <v>21.3</v>
      </c>
    </row>
    <row r="27" spans="1:3" x14ac:dyDescent="0.25">
      <c r="A27" s="7">
        <v>16923</v>
      </c>
      <c r="B27">
        <v>15002.1</v>
      </c>
      <c r="C27">
        <v>12.3</v>
      </c>
    </row>
    <row r="28" spans="1:3" x14ac:dyDescent="0.25">
      <c r="A28" s="7">
        <v>16954</v>
      </c>
      <c r="B28">
        <v>9450949.6999999993</v>
      </c>
      <c r="C28">
        <v>4.3</v>
      </c>
    </row>
    <row r="31" spans="1:3" x14ac:dyDescent="0.25">
      <c r="A31" t="s">
        <v>340</v>
      </c>
    </row>
    <row r="32" spans="1:3" x14ac:dyDescent="0.25">
      <c r="B32" t="s">
        <v>341</v>
      </c>
      <c r="C32" t="s">
        <v>342</v>
      </c>
    </row>
    <row r="33" spans="1:3" x14ac:dyDescent="0.25">
      <c r="A33" s="7">
        <v>16619</v>
      </c>
      <c r="B33">
        <f>16*10^9</f>
        <v>16000000000</v>
      </c>
      <c r="C33">
        <v>39.6</v>
      </c>
    </row>
    <row r="34" spans="1:3" x14ac:dyDescent="0.25">
      <c r="A34" s="7">
        <v>16650</v>
      </c>
      <c r="B34">
        <f>24*10^9</f>
        <v>24000000000</v>
      </c>
      <c r="C34">
        <v>32.200000000000003</v>
      </c>
    </row>
    <row r="35" spans="1:3" x14ac:dyDescent="0.25">
      <c r="A35" s="7">
        <v>16681</v>
      </c>
      <c r="B35">
        <v>42000000000</v>
      </c>
      <c r="C35">
        <v>28.3</v>
      </c>
    </row>
    <row r="36" spans="1:3" x14ac:dyDescent="0.25">
      <c r="A36" s="7">
        <v>16711</v>
      </c>
      <c r="B36">
        <v>110000000000</v>
      </c>
      <c r="C36">
        <v>9.8000000000000007</v>
      </c>
    </row>
    <row r="37" spans="1:3" x14ac:dyDescent="0.25">
      <c r="A37" s="7">
        <v>16742</v>
      </c>
      <c r="B37">
        <v>360000000000</v>
      </c>
      <c r="C37">
        <v>5.3</v>
      </c>
    </row>
    <row r="38" spans="1:3" x14ac:dyDescent="0.25">
      <c r="A38" s="7">
        <v>16772</v>
      </c>
      <c r="B38">
        <v>770000000000</v>
      </c>
      <c r="C38">
        <v>4.5999999999999996</v>
      </c>
    </row>
    <row r="39" spans="1:3" x14ac:dyDescent="0.25">
      <c r="A39" s="7">
        <v>16803</v>
      </c>
      <c r="B39">
        <v>1600000000000</v>
      </c>
      <c r="C39">
        <v>5.3</v>
      </c>
    </row>
    <row r="40" spans="1:3" x14ac:dyDescent="0.25">
      <c r="A40" s="7">
        <v>16834</v>
      </c>
      <c r="B40">
        <v>5200000000000</v>
      </c>
      <c r="C40">
        <v>2.6</v>
      </c>
    </row>
    <row r="41" spans="1:3" x14ac:dyDescent="0.25">
      <c r="A41" s="7">
        <v>16862</v>
      </c>
      <c r="B41">
        <f>34*10^12</f>
        <v>34000000000000</v>
      </c>
      <c r="C41">
        <v>3.8</v>
      </c>
    </row>
    <row r="42" spans="1:3" x14ac:dyDescent="0.25">
      <c r="A42" s="7">
        <v>16893</v>
      </c>
      <c r="B42">
        <f>43*10^13</f>
        <v>430000000000000</v>
      </c>
      <c r="C42">
        <v>2.8</v>
      </c>
    </row>
    <row r="43" spans="1:3" x14ac:dyDescent="0.25">
      <c r="A43" s="7">
        <v>16923</v>
      </c>
      <c r="B43">
        <f>65*10^15</f>
        <v>6.5E+16</v>
      </c>
      <c r="C43">
        <v>1.4</v>
      </c>
    </row>
    <row r="44" spans="1:3" x14ac:dyDescent="0.25">
      <c r="A44" s="7">
        <v>16954</v>
      </c>
      <c r="B44">
        <f>61*10^20</f>
        <v>6.1E+21</v>
      </c>
      <c r="C44">
        <v>0.35599999999999998</v>
      </c>
    </row>
    <row r="45" spans="1:3" x14ac:dyDescent="0.25">
      <c r="A45" s="7"/>
    </row>
    <row r="53" spans="1:3" x14ac:dyDescent="0.25">
      <c r="A53" t="s">
        <v>343</v>
      </c>
    </row>
    <row r="54" spans="1:3" x14ac:dyDescent="0.25">
      <c r="A54" t="s">
        <v>41</v>
      </c>
      <c r="B54" t="s">
        <v>344</v>
      </c>
      <c r="C54" t="s">
        <v>345</v>
      </c>
    </row>
    <row r="55" spans="1:3" x14ac:dyDescent="0.25">
      <c r="A55" s="7">
        <v>16619</v>
      </c>
      <c r="B55">
        <f>16*10^9</f>
        <v>16000000000</v>
      </c>
      <c r="C55">
        <v>39.6</v>
      </c>
    </row>
    <row r="56" spans="1:3" x14ac:dyDescent="0.25">
      <c r="A56" s="7">
        <v>16650</v>
      </c>
      <c r="B56">
        <f>24*10^9</f>
        <v>24000000000</v>
      </c>
      <c r="C56">
        <v>32.200000000000003</v>
      </c>
    </row>
    <row r="57" spans="1:3" x14ac:dyDescent="0.25">
      <c r="A57" s="7">
        <v>16681</v>
      </c>
      <c r="B57">
        <v>42000000000</v>
      </c>
      <c r="C57">
        <v>28.3</v>
      </c>
    </row>
    <row r="58" spans="1:3" x14ac:dyDescent="0.25">
      <c r="A58" s="7">
        <v>16711</v>
      </c>
      <c r="B58">
        <v>110000000000</v>
      </c>
      <c r="C58">
        <v>9.8000000000000007</v>
      </c>
    </row>
    <row r="59" spans="1:3" x14ac:dyDescent="0.25">
      <c r="A59" s="7">
        <v>16742</v>
      </c>
      <c r="B59">
        <v>360000000000</v>
      </c>
      <c r="C59">
        <v>5.3</v>
      </c>
    </row>
    <row r="60" spans="1:3" x14ac:dyDescent="0.25">
      <c r="A60" s="1">
        <v>16802</v>
      </c>
      <c r="B60">
        <f>765.4*10^9</f>
        <v>765400000000</v>
      </c>
      <c r="C60">
        <v>4.5999999999999996</v>
      </c>
    </row>
    <row r="61" spans="1:3" x14ac:dyDescent="0.25">
      <c r="A61" s="1">
        <v>16809</v>
      </c>
      <c r="B61">
        <f>778*10^9</f>
        <v>778000000000</v>
      </c>
    </row>
    <row r="62" spans="1:3" x14ac:dyDescent="0.25">
      <c r="A62" s="1">
        <v>16817</v>
      </c>
      <c r="B62">
        <f>943*10^9</f>
        <v>943000000000</v>
      </c>
    </row>
    <row r="63" spans="1:3" x14ac:dyDescent="0.25">
      <c r="A63" s="1">
        <v>16825</v>
      </c>
      <c r="B63">
        <f>1113*10^9</f>
        <v>1113000000000</v>
      </c>
    </row>
    <row r="64" spans="1:3" x14ac:dyDescent="0.25">
      <c r="A64" s="1">
        <v>16833</v>
      </c>
      <c r="B64">
        <f>1646*10^9</f>
        <v>1646000000000</v>
      </c>
      <c r="C64">
        <v>5.3</v>
      </c>
    </row>
    <row r="65" spans="1:3" x14ac:dyDescent="0.25">
      <c r="A65" s="1">
        <v>16840</v>
      </c>
      <c r="B65">
        <f>1921*10^9</f>
        <v>1921000000000</v>
      </c>
    </row>
    <row r="66" spans="1:3" x14ac:dyDescent="0.25">
      <c r="A66" s="1">
        <v>16848</v>
      </c>
      <c r="B66">
        <f>2722*10^9</f>
        <v>2722000000000</v>
      </c>
    </row>
    <row r="67" spans="1:3" x14ac:dyDescent="0.25">
      <c r="A67" s="1">
        <v>16856</v>
      </c>
      <c r="B67">
        <f>3973*10^9</f>
        <v>3973000000000</v>
      </c>
    </row>
    <row r="68" spans="1:3" x14ac:dyDescent="0.25">
      <c r="A68" s="1">
        <v>16861</v>
      </c>
      <c r="B68">
        <f>5238*10^9</f>
        <v>5238000000000</v>
      </c>
      <c r="C68">
        <v>2.6</v>
      </c>
    </row>
    <row r="69" spans="1:3" x14ac:dyDescent="0.25">
      <c r="A69" s="1">
        <v>16868</v>
      </c>
      <c r="B69">
        <f>9341*10^9</f>
        <v>9341000000000</v>
      </c>
    </row>
    <row r="70" spans="1:3" x14ac:dyDescent="0.25">
      <c r="A70" s="1">
        <v>16876</v>
      </c>
      <c r="B70">
        <f>15568*10^9</f>
        <v>15568000000000</v>
      </c>
    </row>
    <row r="71" spans="1:3" x14ac:dyDescent="0.25">
      <c r="A71" s="1">
        <v>16884</v>
      </c>
      <c r="B71">
        <f>22293*10^9</f>
        <v>22293000000000</v>
      </c>
    </row>
    <row r="72" spans="1:3" x14ac:dyDescent="0.25">
      <c r="A72" s="1">
        <v>16892</v>
      </c>
      <c r="B72">
        <f>34002*10^9</f>
        <v>34002000000000</v>
      </c>
      <c r="C72">
        <v>3.8</v>
      </c>
    </row>
    <row r="73" spans="1:3" x14ac:dyDescent="0.25">
      <c r="A73" s="1">
        <v>16899</v>
      </c>
      <c r="B73">
        <f>59416*10^9</f>
        <v>59416000000000</v>
      </c>
    </row>
    <row r="74" spans="1:3" x14ac:dyDescent="0.25">
      <c r="A74" s="1">
        <v>16907</v>
      </c>
      <c r="B74">
        <f>110299*10^9</f>
        <v>110299000000000</v>
      </c>
    </row>
    <row r="75" spans="1:3" x14ac:dyDescent="0.25">
      <c r="A75" s="1">
        <v>16915</v>
      </c>
      <c r="B75">
        <f>181234*10^9</f>
        <v>181234000000000</v>
      </c>
    </row>
    <row r="76" spans="1:3" x14ac:dyDescent="0.25">
      <c r="A76" s="1">
        <v>16922</v>
      </c>
      <c r="B76">
        <f>434304*10^9</f>
        <v>434304000000000</v>
      </c>
      <c r="C76">
        <v>2.8</v>
      </c>
    </row>
    <row r="77" spans="1:3" x14ac:dyDescent="0.25">
      <c r="A77" s="1">
        <v>16929</v>
      </c>
      <c r="B77">
        <f>1084*10^12</f>
        <v>1084000000000000</v>
      </c>
    </row>
    <row r="78" spans="1:3" x14ac:dyDescent="0.25">
      <c r="A78" s="1">
        <v>16937</v>
      </c>
      <c r="B78">
        <f>2913*10^12</f>
        <v>2913000000000000</v>
      </c>
    </row>
    <row r="79" spans="1:3" x14ac:dyDescent="0.25">
      <c r="A79" s="1">
        <v>16945</v>
      </c>
      <c r="B79">
        <f>14112*10^12</f>
        <v>1.4112E+16</v>
      </c>
    </row>
    <row r="80" spans="1:3" x14ac:dyDescent="0.25">
      <c r="A80" s="1">
        <v>16953</v>
      </c>
      <c r="B80">
        <f>65589*10^12</f>
        <v>6.5589E+16</v>
      </c>
      <c r="C80">
        <v>1.4</v>
      </c>
    </row>
    <row r="81" spans="1:3" x14ac:dyDescent="0.25">
      <c r="A81" s="1">
        <v>16960</v>
      </c>
      <c r="B81">
        <f>501324*10^12</f>
        <v>5.01324E+17</v>
      </c>
    </row>
    <row r="82" spans="1:3" x14ac:dyDescent="0.25">
      <c r="A82" s="1">
        <v>16968</v>
      </c>
      <c r="B82">
        <f>4.7*10^18</f>
        <v>4.7E+18</v>
      </c>
    </row>
    <row r="83" spans="1:3" x14ac:dyDescent="0.25">
      <c r="A83" s="1">
        <v>16976</v>
      </c>
      <c r="B83">
        <f>78.4*10^18</f>
        <v>7.84E+19</v>
      </c>
    </row>
    <row r="84" spans="1:3" x14ac:dyDescent="0.25">
      <c r="A84" s="1">
        <v>16983</v>
      </c>
      <c r="B84">
        <f>6227*10^18</f>
        <v>6.2270000000000003E+21</v>
      </c>
      <c r="C84">
        <v>0.35599999999999998</v>
      </c>
    </row>
    <row r="85" spans="1:3" x14ac:dyDescent="0.25">
      <c r="A85" s="1">
        <v>16990</v>
      </c>
      <c r="B85">
        <f>3563.272*10^18</f>
        <v>3.5632719999999997E+21</v>
      </c>
    </row>
    <row r="86" spans="1:3" x14ac:dyDescent="0.25">
      <c r="A86" s="1">
        <v>16998</v>
      </c>
      <c r="B86">
        <f>76*10^24</f>
        <v>7.6000000000000001E+25</v>
      </c>
    </row>
    <row r="87" spans="1:3" x14ac:dyDescent="0.25">
      <c r="A87" s="1">
        <v>17006</v>
      </c>
      <c r="B87">
        <f>42.1*10^24</f>
        <v>4.2100000000000003E+25</v>
      </c>
    </row>
    <row r="88" spans="1:3" x14ac:dyDescent="0.25">
      <c r="A88" s="1">
        <v>17014</v>
      </c>
      <c r="B88">
        <f>47.3*10^24</f>
        <v>4.7299999999999994E+25</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80" zoomScaleNormal="80" workbookViewId="0"/>
  </sheetViews>
  <sheetFormatPr defaultRowHeight="15" x14ac:dyDescent="0.25"/>
  <cols>
    <col min="1" max="1" width="10.5703125" customWidth="1"/>
    <col min="5" max="5" width="9.42578125" customWidth="1"/>
  </cols>
  <sheetData>
    <row r="1" spans="1:11" x14ac:dyDescent="0.25">
      <c r="A1" t="s">
        <v>346</v>
      </c>
    </row>
    <row r="2" spans="1:11" x14ac:dyDescent="0.25">
      <c r="A2" t="s">
        <v>347</v>
      </c>
    </row>
    <row r="3" spans="1:11" x14ac:dyDescent="0.25">
      <c r="A3" s="32" t="s">
        <v>348</v>
      </c>
      <c r="B3" s="69"/>
      <c r="C3" s="69"/>
      <c r="D3" s="69"/>
      <c r="E3" s="69"/>
      <c r="F3" s="69"/>
      <c r="G3" s="69"/>
      <c r="H3" s="69"/>
      <c r="I3" s="69"/>
      <c r="J3" s="69"/>
      <c r="K3" s="69"/>
    </row>
    <row r="4" spans="1:11" x14ac:dyDescent="0.25">
      <c r="A4" s="32" t="s">
        <v>41</v>
      </c>
      <c r="B4" t="s">
        <v>349</v>
      </c>
    </row>
    <row r="5" spans="1:11" x14ac:dyDescent="0.25">
      <c r="A5" s="32"/>
      <c r="B5" t="s">
        <v>58</v>
      </c>
      <c r="C5" t="s">
        <v>350</v>
      </c>
    </row>
    <row r="6" spans="1:11" x14ac:dyDescent="0.25">
      <c r="A6" s="7">
        <v>16589</v>
      </c>
      <c r="B6">
        <v>43.9</v>
      </c>
    </row>
    <row r="7" spans="1:11" x14ac:dyDescent="0.25">
      <c r="A7" s="7">
        <v>16619</v>
      </c>
      <c r="B7">
        <v>43.1</v>
      </c>
      <c r="C7">
        <v>10.199999999999999</v>
      </c>
    </row>
    <row r="8" spans="1:11" x14ac:dyDescent="0.25">
      <c r="A8" s="7">
        <v>16650</v>
      </c>
      <c r="B8">
        <v>52.7</v>
      </c>
      <c r="C8">
        <v>9.6</v>
      </c>
    </row>
    <row r="9" spans="1:11" x14ac:dyDescent="0.25">
      <c r="A9" s="7">
        <v>16681</v>
      </c>
      <c r="B9">
        <v>56.8</v>
      </c>
      <c r="C9">
        <v>6.2</v>
      </c>
    </row>
    <row r="10" spans="1:11" x14ac:dyDescent="0.25">
      <c r="A10" s="7">
        <v>16711</v>
      </c>
      <c r="B10">
        <v>53</v>
      </c>
    </row>
    <row r="11" spans="1:11" x14ac:dyDescent="0.25">
      <c r="A11" s="7">
        <v>16742</v>
      </c>
      <c r="B11">
        <v>54.1</v>
      </c>
    </row>
    <row r="12" spans="1:11" x14ac:dyDescent="0.25">
      <c r="A12" s="7">
        <v>16772</v>
      </c>
      <c r="B12">
        <v>65.2</v>
      </c>
    </row>
    <row r="13" spans="1:11" x14ac:dyDescent="0.25">
      <c r="A13" s="7">
        <v>16803</v>
      </c>
      <c r="B13">
        <v>61.9</v>
      </c>
      <c r="C13">
        <v>15.3</v>
      </c>
    </row>
    <row r="14" spans="1:11" x14ac:dyDescent="0.25">
      <c r="A14" s="7">
        <v>16834</v>
      </c>
      <c r="B14">
        <v>68.599999999999994</v>
      </c>
      <c r="C14">
        <v>16.100000000000001</v>
      </c>
    </row>
    <row r="15" spans="1:11" x14ac:dyDescent="0.25">
      <c r="A15" s="7">
        <v>16862</v>
      </c>
      <c r="B15">
        <v>69.5</v>
      </c>
      <c r="C15">
        <v>17.100000000000001</v>
      </c>
    </row>
    <row r="16" spans="1:11" x14ac:dyDescent="0.25">
      <c r="A16" s="7">
        <v>16893</v>
      </c>
      <c r="B16">
        <v>67.400000000000006</v>
      </c>
      <c r="C16">
        <v>25.4</v>
      </c>
    </row>
    <row r="17" spans="1:3" x14ac:dyDescent="0.25">
      <c r="A17" s="7">
        <v>16923</v>
      </c>
      <c r="B17">
        <v>66.7</v>
      </c>
      <c r="C17">
        <v>43.2</v>
      </c>
    </row>
    <row r="18" spans="1:3" x14ac:dyDescent="0.25">
      <c r="A18" s="7">
        <v>16954</v>
      </c>
      <c r="B18">
        <v>65</v>
      </c>
      <c r="C18">
        <v>50.1</v>
      </c>
    </row>
    <row r="19" spans="1:3" x14ac:dyDescent="0.25">
      <c r="A19" s="7">
        <v>16984</v>
      </c>
      <c r="B19">
        <v>58.2</v>
      </c>
      <c r="C19">
        <v>51.9</v>
      </c>
    </row>
    <row r="20" spans="1:3" x14ac:dyDescent="0.25">
      <c r="A20" s="7">
        <v>17015</v>
      </c>
      <c r="B20">
        <v>68.3</v>
      </c>
      <c r="C20">
        <v>57.5</v>
      </c>
    </row>
    <row r="21" spans="1:3" x14ac:dyDescent="0.25">
      <c r="A21" s="7">
        <v>17046</v>
      </c>
      <c r="B21">
        <v>68.8</v>
      </c>
      <c r="C21">
        <v>62.5</v>
      </c>
    </row>
    <row r="22" spans="1:3" x14ac:dyDescent="0.25">
      <c r="A22" s="7">
        <v>17076</v>
      </c>
      <c r="B22">
        <v>77.099999999999994</v>
      </c>
      <c r="C22">
        <v>66.400000000000006</v>
      </c>
    </row>
    <row r="23" spans="1:3" x14ac:dyDescent="0.25">
      <c r="A23" s="7">
        <v>17107</v>
      </c>
      <c r="B23">
        <v>79.599999999999994</v>
      </c>
      <c r="C23">
        <v>74.599999999999994</v>
      </c>
    </row>
    <row r="24" spans="1:3" x14ac:dyDescent="0.25">
      <c r="A24" s="7">
        <v>17137</v>
      </c>
      <c r="B24">
        <v>76.7</v>
      </c>
      <c r="C24">
        <v>58</v>
      </c>
    </row>
    <row r="25" spans="1:3" x14ac:dyDescent="0.25">
      <c r="A25" s="7">
        <v>17168</v>
      </c>
      <c r="B25">
        <v>86.8</v>
      </c>
      <c r="C25">
        <v>53</v>
      </c>
    </row>
    <row r="26" spans="1:3" x14ac:dyDescent="0.25">
      <c r="A26" s="7">
        <v>17199</v>
      </c>
      <c r="B26">
        <v>85.1</v>
      </c>
      <c r="C26">
        <v>64.8</v>
      </c>
    </row>
    <row r="27" spans="1:3" x14ac:dyDescent="0.25">
      <c r="A27" s="7">
        <v>17227</v>
      </c>
      <c r="B27">
        <v>92.8</v>
      </c>
      <c r="C27">
        <v>74.8</v>
      </c>
    </row>
    <row r="28" spans="1:3" x14ac:dyDescent="0.25">
      <c r="A28" s="7">
        <v>17258</v>
      </c>
      <c r="B28">
        <v>91.2</v>
      </c>
      <c r="C28">
        <v>89.4</v>
      </c>
    </row>
    <row r="29" spans="1:3" x14ac:dyDescent="0.25">
      <c r="A29" s="7">
        <v>17288</v>
      </c>
      <c r="B29">
        <v>89.1</v>
      </c>
      <c r="C29">
        <v>97.4</v>
      </c>
    </row>
    <row r="30" spans="1:3" x14ac:dyDescent="0.25">
      <c r="A30" s="7">
        <v>17319</v>
      </c>
      <c r="B30">
        <v>88.8</v>
      </c>
      <c r="C30">
        <v>94.9</v>
      </c>
    </row>
    <row r="31" spans="1:3" x14ac:dyDescent="0.25">
      <c r="A31" s="7">
        <v>17349</v>
      </c>
      <c r="B31">
        <v>83.8</v>
      </c>
      <c r="C31">
        <v>90.9</v>
      </c>
    </row>
    <row r="32" spans="1:3" x14ac:dyDescent="0.25">
      <c r="A32" s="7">
        <v>17380</v>
      </c>
      <c r="B32">
        <v>87.5</v>
      </c>
      <c r="C32">
        <v>102.3</v>
      </c>
    </row>
    <row r="33" spans="1:3" x14ac:dyDescent="0.25">
      <c r="A33" s="7">
        <v>17411</v>
      </c>
      <c r="B33">
        <v>92.2</v>
      </c>
      <c r="C33">
        <v>112.1</v>
      </c>
    </row>
    <row r="34" spans="1:3" x14ac:dyDescent="0.25">
      <c r="A34" s="7">
        <v>17441</v>
      </c>
      <c r="B34">
        <v>95.9</v>
      </c>
      <c r="C34">
        <v>91.6</v>
      </c>
    </row>
    <row r="35" spans="1:3" x14ac:dyDescent="0.25">
      <c r="A35" s="7">
        <v>17472</v>
      </c>
      <c r="B35">
        <v>101.1</v>
      </c>
      <c r="C35">
        <v>87.3</v>
      </c>
    </row>
    <row r="36" spans="1:3" x14ac:dyDescent="0.25">
      <c r="A36" s="7"/>
    </row>
    <row r="37" spans="1:3" x14ac:dyDescent="0.25">
      <c r="A37" s="7"/>
    </row>
  </sheetData>
  <pageMargins left="0.7" right="0.7" top="0.75" bottom="0.75" header="0.3" footer="0.3"/>
  <pageSetup orientation="portrait" horizontalDpi="200" verticalDpi="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80" zoomScaleNormal="80" workbookViewId="0"/>
  </sheetViews>
  <sheetFormatPr defaultRowHeight="15" x14ac:dyDescent="0.25"/>
  <cols>
    <col min="1" max="1" width="23.5703125" style="5" customWidth="1"/>
  </cols>
  <sheetData>
    <row r="1" spans="1:7" x14ac:dyDescent="0.25">
      <c r="A1" s="37" t="s">
        <v>351</v>
      </c>
    </row>
    <row r="2" spans="1:7" x14ac:dyDescent="0.25">
      <c r="B2" t="s">
        <v>352</v>
      </c>
    </row>
    <row r="3" spans="1:7" x14ac:dyDescent="0.25">
      <c r="B3">
        <v>1945</v>
      </c>
      <c r="C3">
        <v>1949</v>
      </c>
      <c r="D3">
        <v>1950</v>
      </c>
      <c r="E3">
        <v>1951</v>
      </c>
      <c r="F3">
        <v>1952</v>
      </c>
      <c r="G3">
        <v>1953</v>
      </c>
    </row>
    <row r="4" spans="1:7" x14ac:dyDescent="0.25">
      <c r="A4"/>
      <c r="B4" s="79" t="s">
        <v>353</v>
      </c>
      <c r="C4" s="79"/>
      <c r="D4" s="79"/>
      <c r="E4" s="79"/>
      <c r="F4" s="79"/>
      <c r="G4" s="79"/>
    </row>
    <row r="5" spans="1:7" ht="30" x14ac:dyDescent="0.25">
      <c r="A5" s="5" t="s">
        <v>354</v>
      </c>
      <c r="B5">
        <v>10</v>
      </c>
      <c r="C5">
        <v>92</v>
      </c>
      <c r="G5">
        <v>99</v>
      </c>
    </row>
    <row r="6" spans="1:7" ht="45" x14ac:dyDescent="0.25">
      <c r="A6" s="5" t="s">
        <v>355</v>
      </c>
      <c r="B6">
        <v>10</v>
      </c>
      <c r="C6">
        <v>54</v>
      </c>
      <c r="D6">
        <v>70</v>
      </c>
      <c r="E6">
        <v>76</v>
      </c>
      <c r="F6">
        <v>87</v>
      </c>
      <c r="G6">
        <v>87</v>
      </c>
    </row>
    <row r="7" spans="1:7" ht="30" x14ac:dyDescent="0.25">
      <c r="A7" s="5" t="s">
        <v>356</v>
      </c>
      <c r="C7">
        <v>30</v>
      </c>
      <c r="D7">
        <v>50</v>
      </c>
      <c r="E7">
        <v>82</v>
      </c>
      <c r="F7">
        <v>99</v>
      </c>
    </row>
    <row r="8" spans="1:7" ht="30" x14ac:dyDescent="0.25">
      <c r="A8" s="5" t="s">
        <v>357</v>
      </c>
      <c r="C8">
        <v>15</v>
      </c>
      <c r="D8">
        <v>25</v>
      </c>
      <c r="E8">
        <v>27</v>
      </c>
      <c r="F8">
        <v>33</v>
      </c>
    </row>
    <row r="9" spans="1:7" ht="30" x14ac:dyDescent="0.25">
      <c r="A9" s="5" t="s">
        <v>358</v>
      </c>
      <c r="B9">
        <v>0</v>
      </c>
      <c r="D9">
        <v>90</v>
      </c>
      <c r="E9">
        <v>235</v>
      </c>
      <c r="F9">
        <v>280</v>
      </c>
      <c r="G9">
        <v>263</v>
      </c>
    </row>
    <row r="10" spans="1:7" ht="60" x14ac:dyDescent="0.25">
      <c r="A10" s="5" t="s">
        <v>359</v>
      </c>
    </row>
  </sheetData>
  <mergeCells count="1">
    <mergeCell ref="B4:G4"/>
  </mergeCells>
  <pageMargins left="0.7" right="0.7" top="0.75" bottom="0.75" header="0.3" footer="0.3"/>
  <pageSetup orientation="portrait" horizontalDpi="200" verticalDpi="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zoomScale="80" zoomScaleNormal="80" workbookViewId="0"/>
  </sheetViews>
  <sheetFormatPr defaultRowHeight="15" x14ac:dyDescent="0.25"/>
  <cols>
    <col min="1" max="1" width="15.7109375" customWidth="1"/>
    <col min="2" max="2" width="19.7109375" customWidth="1"/>
    <col min="3" max="3" width="17.5703125" customWidth="1"/>
    <col min="12" max="12" width="10.28515625" customWidth="1"/>
    <col min="22" max="28" width="11.85546875" customWidth="1"/>
  </cols>
  <sheetData>
    <row r="1" spans="1:18" x14ac:dyDescent="0.25">
      <c r="A1" t="s">
        <v>360</v>
      </c>
    </row>
    <row r="2" spans="1:18" ht="45" x14ac:dyDescent="0.25">
      <c r="B2" s="5" t="s">
        <v>361</v>
      </c>
      <c r="C2" s="5" t="s">
        <v>362</v>
      </c>
      <c r="G2" t="s">
        <v>279</v>
      </c>
    </row>
    <row r="3" spans="1:18" x14ac:dyDescent="0.25">
      <c r="A3" t="s">
        <v>363</v>
      </c>
      <c r="B3">
        <v>1951</v>
      </c>
      <c r="C3">
        <v>15.2</v>
      </c>
      <c r="G3" s="45" t="s">
        <v>280</v>
      </c>
    </row>
    <row r="4" spans="1:18" x14ac:dyDescent="0.25">
      <c r="A4" t="s">
        <v>364</v>
      </c>
      <c r="B4">
        <v>1948</v>
      </c>
      <c r="C4">
        <v>6</v>
      </c>
      <c r="G4" s="45" t="s">
        <v>281</v>
      </c>
    </row>
    <row r="5" spans="1:18" ht="30" x14ac:dyDescent="0.25">
      <c r="A5" t="s">
        <v>365</v>
      </c>
      <c r="B5">
        <v>1946</v>
      </c>
      <c r="C5">
        <v>13.5</v>
      </c>
      <c r="G5" s="12"/>
      <c r="H5" s="12" t="s">
        <v>366</v>
      </c>
      <c r="I5" s="12" t="s">
        <v>367</v>
      </c>
      <c r="J5" s="12" t="s">
        <v>368</v>
      </c>
      <c r="K5" s="12" t="s">
        <v>369</v>
      </c>
      <c r="L5" s="12" t="s">
        <v>370</v>
      </c>
      <c r="M5" s="50" t="s">
        <v>371</v>
      </c>
      <c r="N5" s="12" t="s">
        <v>372</v>
      </c>
      <c r="O5" s="12" t="s">
        <v>373</v>
      </c>
      <c r="P5" s="12" t="s">
        <v>374</v>
      </c>
      <c r="Q5" s="12" t="s">
        <v>375</v>
      </c>
      <c r="R5" s="12" t="s">
        <v>376</v>
      </c>
    </row>
    <row r="6" spans="1:18" x14ac:dyDescent="0.25">
      <c r="A6" t="s">
        <v>377</v>
      </c>
      <c r="B6">
        <v>1945</v>
      </c>
      <c r="G6" s="51">
        <v>1938</v>
      </c>
      <c r="H6" s="52">
        <v>2655.4006165059391</v>
      </c>
      <c r="I6" s="52">
        <v>4993.5966626797754</v>
      </c>
      <c r="J6" s="52">
        <v>2182.3352360408512</v>
      </c>
      <c r="K6" s="52">
        <v>1241.9211932583205</v>
      </c>
      <c r="L6" s="52">
        <v>1248.770562617631</v>
      </c>
      <c r="M6" s="52" t="s">
        <v>378</v>
      </c>
      <c r="N6" s="52">
        <v>1498.8745330291911</v>
      </c>
      <c r="O6" s="52">
        <v>2830.1222032345058</v>
      </c>
      <c r="P6" s="52">
        <v>4466.2114632983785</v>
      </c>
      <c r="Q6" s="52">
        <v>6126.4656718476963</v>
      </c>
      <c r="R6" s="52">
        <v>2676.8163149695511</v>
      </c>
    </row>
    <row r="7" spans="1:18" x14ac:dyDescent="0.25">
      <c r="A7" t="s">
        <v>379</v>
      </c>
      <c r="B7">
        <v>1949</v>
      </c>
      <c r="C7">
        <v>19</v>
      </c>
      <c r="G7" s="51">
        <v>1939</v>
      </c>
      <c r="H7" s="52">
        <v>2837.7759939838597</v>
      </c>
      <c r="I7" s="52">
        <v>5406.2436855930491</v>
      </c>
      <c r="J7" s="52" t="s">
        <v>378</v>
      </c>
      <c r="K7" s="52" t="s">
        <v>378</v>
      </c>
      <c r="L7" s="52">
        <v>1299.7126176109841</v>
      </c>
      <c r="M7" s="52" t="s">
        <v>378</v>
      </c>
      <c r="N7" s="52">
        <v>1676.4463333409954</v>
      </c>
      <c r="O7" s="52">
        <v>2980.8249609026107</v>
      </c>
      <c r="P7" s="52">
        <v>4793.3105011933167</v>
      </c>
      <c r="Q7" s="52">
        <v>6560.752658907244</v>
      </c>
      <c r="R7" s="52">
        <v>2637.6467300167687</v>
      </c>
    </row>
    <row r="8" spans="1:18" x14ac:dyDescent="0.25">
      <c r="A8" t="s">
        <v>367</v>
      </c>
      <c r="B8">
        <v>1951</v>
      </c>
      <c r="C8">
        <v>13.5</v>
      </c>
      <c r="G8" s="51">
        <v>1940</v>
      </c>
      <c r="H8" s="52">
        <v>2626.4024399545169</v>
      </c>
      <c r="I8" s="52">
        <v>5402.5059067802677</v>
      </c>
      <c r="J8" s="52" t="s">
        <v>378</v>
      </c>
      <c r="K8" s="52" t="s">
        <v>378</v>
      </c>
      <c r="L8" s="52" t="s">
        <v>378</v>
      </c>
      <c r="M8" s="52" t="s">
        <v>378</v>
      </c>
      <c r="N8" s="52">
        <v>1682.9261240048988</v>
      </c>
      <c r="O8" s="52">
        <v>2897.0929201440881</v>
      </c>
      <c r="P8" s="52">
        <v>4042.1678780487805</v>
      </c>
      <c r="Q8" s="52">
        <v>7009.637212844078</v>
      </c>
      <c r="R8" s="52">
        <v>2222.9395604395604</v>
      </c>
    </row>
    <row r="9" spans="1:18" x14ac:dyDescent="0.25">
      <c r="A9" t="s">
        <v>373</v>
      </c>
      <c r="B9">
        <v>1950</v>
      </c>
      <c r="C9">
        <v>11.2</v>
      </c>
      <c r="G9" s="51">
        <v>1941</v>
      </c>
      <c r="H9" s="52">
        <v>2626.2227616545979</v>
      </c>
      <c r="I9" s="52">
        <v>5711.1497067365181</v>
      </c>
      <c r="J9" s="52" t="s">
        <v>378</v>
      </c>
      <c r="K9" s="52" t="s">
        <v>378</v>
      </c>
      <c r="L9" s="52" t="s">
        <v>378</v>
      </c>
      <c r="M9" s="52" t="s">
        <v>378</v>
      </c>
      <c r="N9" s="52">
        <v>1496.8635635128071</v>
      </c>
      <c r="O9" s="52">
        <v>2822.2565675610986</v>
      </c>
      <c r="P9" s="52">
        <v>3309.3818939393936</v>
      </c>
      <c r="Q9" s="52">
        <v>8205.6830991173974</v>
      </c>
      <c r="R9" s="52">
        <v>1873.9472969301821</v>
      </c>
    </row>
    <row r="10" spans="1:18" x14ac:dyDescent="0.25">
      <c r="A10" t="s">
        <v>380</v>
      </c>
      <c r="B10">
        <v>1947</v>
      </c>
      <c r="C10">
        <v>39.799999999999997</v>
      </c>
      <c r="G10" s="51">
        <v>1942</v>
      </c>
      <c r="H10" s="52">
        <v>2742.9731474661498</v>
      </c>
      <c r="I10" s="52">
        <v>5739.9271536267897</v>
      </c>
      <c r="J10" s="52" t="s">
        <v>378</v>
      </c>
      <c r="K10" s="52" t="s">
        <v>378</v>
      </c>
      <c r="L10" s="52" t="s">
        <v>378</v>
      </c>
      <c r="M10" s="52" t="s">
        <v>378</v>
      </c>
      <c r="N10" s="52">
        <v>1442.2801052109583</v>
      </c>
      <c r="O10" s="52">
        <v>2648.2949673764751</v>
      </c>
      <c r="P10" s="52">
        <v>2981.4608375634512</v>
      </c>
      <c r="Q10" s="52">
        <v>9741.1051881287585</v>
      </c>
      <c r="R10" s="52">
        <v>1578.9617114048235</v>
      </c>
    </row>
    <row r="11" spans="1:18" x14ac:dyDescent="0.25">
      <c r="A11" t="s">
        <v>381</v>
      </c>
      <c r="B11">
        <v>1946</v>
      </c>
      <c r="C11">
        <v>9.6999999999999993</v>
      </c>
      <c r="G11" s="51">
        <v>1943</v>
      </c>
      <c r="H11" s="52"/>
      <c r="I11" s="52">
        <v>5889.6479243300055</v>
      </c>
      <c r="J11" s="52" t="s">
        <v>378</v>
      </c>
      <c r="K11" s="52" t="s">
        <v>378</v>
      </c>
      <c r="L11" s="52" t="s">
        <v>378</v>
      </c>
      <c r="M11" s="52" t="s">
        <v>378</v>
      </c>
      <c r="N11" s="52">
        <v>1472.2850472014484</v>
      </c>
      <c r="O11" s="52">
        <v>2233.8644616401498</v>
      </c>
      <c r="P11" s="52">
        <v>2860.1412307692308</v>
      </c>
      <c r="Q11" s="52">
        <v>11518.171571769917</v>
      </c>
      <c r="R11" s="52">
        <v>1326.9836919281897</v>
      </c>
    </row>
    <row r="12" spans="1:18" x14ac:dyDescent="0.25">
      <c r="G12" s="51">
        <v>1944</v>
      </c>
      <c r="H12" s="52"/>
      <c r="I12" s="52">
        <v>6083.7472267945323</v>
      </c>
      <c r="J12" s="52" t="s">
        <v>378</v>
      </c>
      <c r="K12" s="52" t="s">
        <v>378</v>
      </c>
      <c r="L12" s="52" t="s">
        <v>378</v>
      </c>
      <c r="M12" s="52" t="s">
        <v>378</v>
      </c>
      <c r="N12" s="52">
        <v>1308.5346722959018</v>
      </c>
      <c r="O12" s="52">
        <v>1797.1882761802203</v>
      </c>
      <c r="P12" s="52">
        <v>2421.7693573264783</v>
      </c>
      <c r="Q12" s="52">
        <v>12333.449664236308</v>
      </c>
      <c r="R12" s="52">
        <v>1116.0076880834706</v>
      </c>
    </row>
    <row r="13" spans="1:18" x14ac:dyDescent="0.25">
      <c r="A13" t="s">
        <v>382</v>
      </c>
      <c r="G13" s="51">
        <v>1945</v>
      </c>
      <c r="H13" s="52"/>
      <c r="I13" s="52">
        <v>4514.2835820895525</v>
      </c>
      <c r="J13" s="52" t="s">
        <v>378</v>
      </c>
      <c r="K13" s="52" t="s">
        <v>378</v>
      </c>
      <c r="L13" s="52" t="s">
        <v>378</v>
      </c>
      <c r="M13" s="52" t="s">
        <v>378</v>
      </c>
      <c r="N13" s="52">
        <v>1072.7085963110717</v>
      </c>
      <c r="O13" s="52">
        <v>1608.6346377973978</v>
      </c>
      <c r="P13" s="52">
        <v>2573.141637279597</v>
      </c>
      <c r="Q13" s="52">
        <v>11708.647557555134</v>
      </c>
      <c r="R13" s="52">
        <v>937.58535919147778</v>
      </c>
    </row>
    <row r="14" spans="1:18" x14ac:dyDescent="0.25">
      <c r="G14" s="51">
        <v>1946</v>
      </c>
      <c r="H14" s="52">
        <v>1720.7675255062268</v>
      </c>
      <c r="I14" s="52">
        <v>2216.8434398095183</v>
      </c>
      <c r="J14" s="52" t="s">
        <v>378</v>
      </c>
      <c r="K14" s="52" t="s">
        <v>378</v>
      </c>
      <c r="L14" s="52" t="s">
        <v>378</v>
      </c>
      <c r="M14" s="52" t="s">
        <v>378</v>
      </c>
      <c r="N14" s="52" t="s">
        <v>378</v>
      </c>
      <c r="O14" s="52">
        <v>2161.6798950684206</v>
      </c>
      <c r="P14" s="52">
        <v>3855.1917349218165</v>
      </c>
      <c r="Q14" s="52">
        <v>9196.5429688600834</v>
      </c>
      <c r="R14" s="52">
        <v>1386.3575087624697</v>
      </c>
    </row>
    <row r="15" spans="1:18" x14ac:dyDescent="0.25">
      <c r="B15" t="s">
        <v>383</v>
      </c>
      <c r="G15" s="51">
        <v>1947</v>
      </c>
      <c r="H15" s="52">
        <v>1773.5369597369215</v>
      </c>
      <c r="I15" s="52">
        <v>2436.0910218779313</v>
      </c>
      <c r="J15" s="52" t="s">
        <v>378</v>
      </c>
      <c r="K15" s="52" t="s">
        <v>378</v>
      </c>
      <c r="L15" s="52">
        <v>1211.0474211048715</v>
      </c>
      <c r="M15" s="52" t="s">
        <v>378</v>
      </c>
      <c r="N15" s="52" t="s">
        <v>378</v>
      </c>
      <c r="O15" s="52">
        <v>2555.5513234371533</v>
      </c>
      <c r="P15" s="52">
        <v>4137.8978613569325</v>
      </c>
      <c r="Q15" s="52">
        <v>8885.9943810129371</v>
      </c>
      <c r="R15" s="52">
        <v>1762.7839022446542</v>
      </c>
    </row>
    <row r="16" spans="1:18" x14ac:dyDescent="0.25">
      <c r="A16" t="s">
        <v>384</v>
      </c>
      <c r="B16">
        <v>3480</v>
      </c>
      <c r="G16" s="51">
        <v>1948</v>
      </c>
      <c r="H16" s="52">
        <v>2200.0422299584238</v>
      </c>
      <c r="I16" s="52">
        <v>2833.7172152463036</v>
      </c>
      <c r="J16" s="52" t="s">
        <v>378</v>
      </c>
      <c r="K16" s="52">
        <v>816.37480731643586</v>
      </c>
      <c r="L16" s="52">
        <v>1425.5479222589936</v>
      </c>
      <c r="M16" s="52">
        <v>3088.437025335229</v>
      </c>
      <c r="N16" s="52" t="s">
        <v>378</v>
      </c>
      <c r="O16" s="52">
        <v>2735.2585615479629</v>
      </c>
      <c r="P16" s="52">
        <v>4393.3653612259795</v>
      </c>
      <c r="Q16" s="52">
        <v>9064.5622507693461</v>
      </c>
      <c r="R16" s="52">
        <v>1798.425603303652</v>
      </c>
    </row>
    <row r="17" spans="1:32" ht="30" x14ac:dyDescent="0.25">
      <c r="A17" t="s">
        <v>366</v>
      </c>
      <c r="B17">
        <v>2482</v>
      </c>
      <c r="E17" t="s">
        <v>385</v>
      </c>
      <c r="S17" s="85" t="s">
        <v>386</v>
      </c>
      <c r="T17" s="85"/>
      <c r="U17" s="85"/>
      <c r="V17" s="55" t="s">
        <v>366</v>
      </c>
      <c r="W17" s="55" t="s">
        <v>367</v>
      </c>
      <c r="X17" s="55" t="s">
        <v>368</v>
      </c>
      <c r="Y17" s="55" t="s">
        <v>369</v>
      </c>
      <c r="Z17" s="55" t="s">
        <v>370</v>
      </c>
      <c r="AA17" s="56" t="s">
        <v>371</v>
      </c>
      <c r="AB17" s="55" t="s">
        <v>372</v>
      </c>
      <c r="AC17" s="55" t="s">
        <v>373</v>
      </c>
      <c r="AD17" s="55" t="s">
        <v>374</v>
      </c>
      <c r="AE17" s="55" t="s">
        <v>375</v>
      </c>
      <c r="AF17" s="55" t="s">
        <v>376</v>
      </c>
    </row>
    <row r="18" spans="1:32" ht="27" customHeight="1" x14ac:dyDescent="0.25">
      <c r="A18" t="s">
        <v>368</v>
      </c>
      <c r="B18">
        <v>2447</v>
      </c>
      <c r="E18" s="86" t="s">
        <v>387</v>
      </c>
      <c r="F18" s="86"/>
      <c r="G18" s="86"/>
      <c r="H18" s="49">
        <f>(H16-H6)/H6</f>
        <v>-0.17148387468053328</v>
      </c>
      <c r="I18" s="49">
        <f t="shared" ref="I18:R18" si="0">(I16-I6)/I6</f>
        <v>-0.43252981634972276</v>
      </c>
      <c r="J18" s="49"/>
      <c r="K18" s="49">
        <f t="shared" si="0"/>
        <v>-0.34265168212921437</v>
      </c>
      <c r="L18" s="49">
        <f t="shared" si="0"/>
        <v>0.14156112013948172</v>
      </c>
      <c r="M18" s="49"/>
      <c r="N18" s="49"/>
      <c r="O18" s="49">
        <f t="shared" si="0"/>
        <v>-3.3519274036338295E-2</v>
      </c>
      <c r="P18" s="49">
        <f t="shared" si="0"/>
        <v>-1.6310491043924007E-2</v>
      </c>
      <c r="Q18" s="49">
        <f t="shared" si="0"/>
        <v>0.47957447838527456</v>
      </c>
      <c r="R18" s="49">
        <f t="shared" si="0"/>
        <v>-0.32814754854626282</v>
      </c>
      <c r="S18" s="85" t="s">
        <v>388</v>
      </c>
      <c r="T18" s="85"/>
      <c r="U18" s="85"/>
      <c r="V18" s="57">
        <f>((1+$H$18)^(1/10))-1</f>
        <v>-1.8636058502746078E-2</v>
      </c>
      <c r="W18" s="57">
        <f>((1+$I$18)^(1/10))-1</f>
        <v>-5.5081602513448513E-2</v>
      </c>
      <c r="X18" s="57"/>
      <c r="Y18" s="57">
        <f>((1+$K$18)^(1/10))-1</f>
        <v>-4.1086229001381924E-2</v>
      </c>
      <c r="Z18" s="57">
        <f>((1+$L$18)^(1/10))-1</f>
        <v>1.3327705473902718E-2</v>
      </c>
      <c r="AA18" s="57"/>
      <c r="AB18" s="57"/>
      <c r="AC18" s="57">
        <f>((1+$O$18)^(1/10))-1</f>
        <v>-3.4035868845939676E-3</v>
      </c>
      <c r="AD18" s="57">
        <f t="shared" ref="AD18" si="1">((1+P18)^(1/10))-1</f>
        <v>-1.6431456956738089E-3</v>
      </c>
      <c r="AE18" s="57">
        <f>((1+Q18)^(1/10))-1</f>
        <v>3.9952930696221189E-2</v>
      </c>
      <c r="AF18" s="57">
        <f>((1+$R$18)^(1/10))-1</f>
        <v>-3.8991142300884296E-2</v>
      </c>
    </row>
    <row r="19" spans="1:32" ht="36.75" customHeight="1" x14ac:dyDescent="0.25">
      <c r="A19" t="s">
        <v>372</v>
      </c>
      <c r="B19">
        <v>1654</v>
      </c>
      <c r="E19" s="86" t="s">
        <v>389</v>
      </c>
      <c r="F19" s="86"/>
      <c r="G19" s="86"/>
      <c r="H19" s="49"/>
      <c r="I19" s="49">
        <f t="shared" ref="I19:R19" si="2">(I13-I6)/I6</f>
        <v>-9.5985541678290681E-2</v>
      </c>
      <c r="J19" s="49"/>
      <c r="K19" s="49"/>
      <c r="L19" s="49"/>
      <c r="M19" s="49"/>
      <c r="N19" s="49">
        <f t="shared" si="2"/>
        <v>-0.28432395595970783</v>
      </c>
      <c r="O19" s="49">
        <f t="shared" si="2"/>
        <v>-0.4316024106807429</v>
      </c>
      <c r="P19" s="49">
        <f t="shared" si="2"/>
        <v>-0.42386479941115796</v>
      </c>
      <c r="Q19" s="49">
        <f t="shared" si="2"/>
        <v>0.91115860019564809</v>
      </c>
      <c r="R19" s="49">
        <f t="shared" si="2"/>
        <v>-0.64973862646150859</v>
      </c>
      <c r="S19" s="85" t="s">
        <v>390</v>
      </c>
      <c r="T19" s="85"/>
      <c r="U19" s="85"/>
      <c r="V19" s="57"/>
      <c r="W19" s="57">
        <f>((1+$I$19)^(1/7))-1</f>
        <v>-1.4312294816259508E-2</v>
      </c>
      <c r="X19" s="57"/>
      <c r="Y19" s="57"/>
      <c r="Z19" s="57"/>
      <c r="AA19" s="57"/>
      <c r="AB19" s="57">
        <f>((1+$N$19)^(1/7))-1</f>
        <v>-4.6665716058336248E-2</v>
      </c>
      <c r="AC19" s="57">
        <f>((1+$O$19)^(1/7))-1</f>
        <v>-7.7534105837294143E-2</v>
      </c>
      <c r="AD19" s="57">
        <f t="shared" ref="AD19:AE19" si="3">((1+P19)^(1/7))-1</f>
        <v>-7.5750548532593331E-2</v>
      </c>
      <c r="AE19" s="57">
        <f t="shared" si="3"/>
        <v>9.6945995402269336E-2</v>
      </c>
      <c r="AF19" s="57">
        <f>((1+$R$19)^(1/7))-1</f>
        <v>-0.13917835609739182</v>
      </c>
    </row>
    <row r="20" spans="1:32" ht="26.25" customHeight="1" x14ac:dyDescent="0.25">
      <c r="A20" t="s">
        <v>369</v>
      </c>
      <c r="B20">
        <v>1175</v>
      </c>
      <c r="E20" s="86" t="s">
        <v>391</v>
      </c>
      <c r="F20" s="86"/>
      <c r="G20" s="86"/>
      <c r="H20" s="49">
        <f>(H14-H6)/H6</f>
        <v>-0.35197441967514959</v>
      </c>
      <c r="I20" s="49">
        <f t="shared" ref="I20:R20" si="4">(I14-I6)/I6</f>
        <v>-0.55606277607934274</v>
      </c>
      <c r="J20" s="49"/>
      <c r="K20" s="49"/>
      <c r="L20" s="49"/>
      <c r="M20" s="49"/>
      <c r="N20" s="49"/>
      <c r="O20" s="49">
        <f t="shared" si="4"/>
        <v>-0.23618849652574442</v>
      </c>
      <c r="P20" s="49">
        <f t="shared" si="4"/>
        <v>-0.13680940398762775</v>
      </c>
      <c r="Q20" s="49">
        <f t="shared" si="4"/>
        <v>0.50111719569734814</v>
      </c>
      <c r="R20" s="49">
        <f t="shared" si="4"/>
        <v>-0.48208717161145981</v>
      </c>
      <c r="S20" s="85" t="s">
        <v>392</v>
      </c>
      <c r="T20" s="85"/>
      <c r="U20" s="85"/>
      <c r="V20" s="57">
        <f>((1+$H$20)^(1/8))-1</f>
        <v>-5.2784014536650936E-2</v>
      </c>
      <c r="W20" s="57">
        <f>((1+$I$20)^(1/8))-1</f>
        <v>-9.6526964838960505E-2</v>
      </c>
      <c r="X20" s="57"/>
      <c r="Y20" s="57"/>
      <c r="Z20" s="57"/>
      <c r="AA20" s="57"/>
      <c r="AB20" s="57"/>
      <c r="AC20" s="57">
        <f>((1+$O$20)^(1/8))-1</f>
        <v>-3.3118447250739536E-2</v>
      </c>
      <c r="AD20" s="57">
        <f t="shared" ref="AD20:AE20" si="5">((1+P20)^(1/8))-1</f>
        <v>-1.8221906237367969E-2</v>
      </c>
      <c r="AE20" s="57">
        <f t="shared" si="5"/>
        <v>5.2087413455683462E-2</v>
      </c>
      <c r="AF20" s="57">
        <f>((1+$R$20)^(1/8))-1</f>
        <v>-7.8952382382209918E-2</v>
      </c>
    </row>
    <row r="21" spans="1:32" ht="25.5" customHeight="1" x14ac:dyDescent="0.25">
      <c r="E21" s="86" t="s">
        <v>393</v>
      </c>
      <c r="F21" s="86"/>
      <c r="G21" s="86"/>
      <c r="H21" s="49"/>
      <c r="I21" s="49">
        <f t="shared" ref="I21:R21" si="6">(I12-I6)/I6</f>
        <v>0.21830969494635474</v>
      </c>
      <c r="J21" s="49"/>
      <c r="K21" s="49"/>
      <c r="L21" s="49"/>
      <c r="M21" s="49"/>
      <c r="N21" s="49">
        <f t="shared" si="6"/>
        <v>-0.12698852141320777</v>
      </c>
      <c r="O21" s="49">
        <f t="shared" si="6"/>
        <v>-0.36497856024512304</v>
      </c>
      <c r="P21" s="49">
        <f t="shared" si="6"/>
        <v>-0.45775756987154442</v>
      </c>
      <c r="Q21" s="49">
        <f t="shared" si="6"/>
        <v>1.0131427032899103</v>
      </c>
      <c r="R21" s="49">
        <f t="shared" si="6"/>
        <v>-0.58308394870338154</v>
      </c>
      <c r="S21" s="85" t="s">
        <v>394</v>
      </c>
      <c r="T21" s="85"/>
      <c r="U21" s="85"/>
      <c r="V21" s="57"/>
      <c r="W21" s="57">
        <f>((1+$I$21)^(1/6))-1</f>
        <v>3.3458282111535897E-2</v>
      </c>
      <c r="X21" s="57"/>
      <c r="Y21" s="57"/>
      <c r="Z21" s="57"/>
      <c r="AA21" s="57"/>
      <c r="AB21" s="57">
        <f>((1+$N$21)^(1/6))-1</f>
        <v>-2.2380192222377304E-2</v>
      </c>
      <c r="AC21" s="57">
        <f>((1+$O$21)^(1/6))-1</f>
        <v>-7.2889717021158318E-2</v>
      </c>
      <c r="AD21" s="57">
        <f t="shared" ref="AD21:AE21" si="7">((1+P21)^(1/6))-1</f>
        <v>-9.6976782983864362E-2</v>
      </c>
      <c r="AE21" s="57">
        <f t="shared" si="7"/>
        <v>0.12368804453406734</v>
      </c>
      <c r="AF21" s="57">
        <f>((1+$R$21)^(1/6))-1</f>
        <v>-0.135679588442153</v>
      </c>
    </row>
    <row r="22" spans="1:32" x14ac:dyDescent="0.25">
      <c r="E22" s="5"/>
      <c r="F22" s="5"/>
      <c r="G22" s="5"/>
    </row>
    <row r="23" spans="1:32" x14ac:dyDescent="0.25">
      <c r="H23" s="22">
        <f>1+H18</f>
        <v>0.82851612531946672</v>
      </c>
    </row>
    <row r="24" spans="1:32" s="39" customFormat="1" x14ac:dyDescent="0.25"/>
    <row r="25" spans="1:32" ht="15" customHeight="1" x14ac:dyDescent="0.25">
      <c r="I25" s="21"/>
      <c r="J25" s="21"/>
      <c r="K25" s="21"/>
      <c r="L25" s="21"/>
      <c r="M25" s="21"/>
      <c r="S25" s="87" t="s">
        <v>395</v>
      </c>
      <c r="T25" s="87"/>
      <c r="U25" s="87"/>
      <c r="V25" s="53" t="s">
        <v>366</v>
      </c>
      <c r="W25" s="53" t="s">
        <v>367</v>
      </c>
      <c r="X25" s="53" t="s">
        <v>369</v>
      </c>
      <c r="Y25" s="53" t="s">
        <v>370</v>
      </c>
      <c r="Z25" s="53" t="s">
        <v>372</v>
      </c>
      <c r="AA25" s="53" t="s">
        <v>373</v>
      </c>
      <c r="AB25" s="53" t="s">
        <v>376</v>
      </c>
    </row>
    <row r="26" spans="1:32" ht="27" customHeight="1" x14ac:dyDescent="0.25">
      <c r="I26" s="21"/>
      <c r="J26" s="21"/>
      <c r="K26" s="21"/>
      <c r="L26" s="21"/>
      <c r="M26" s="21"/>
      <c r="S26" s="88" t="s">
        <v>388</v>
      </c>
      <c r="T26" s="88"/>
      <c r="U26" s="88"/>
      <c r="V26" s="54">
        <v>-1.8636058502746078E-2</v>
      </c>
      <c r="W26" s="54">
        <v>-5.5081602513448513E-2</v>
      </c>
      <c r="X26" s="54">
        <v>-4.1086229001381924E-2</v>
      </c>
      <c r="Y26" s="54">
        <v>1.3327705473902718E-2</v>
      </c>
      <c r="Z26" s="54"/>
      <c r="AA26" s="54">
        <v>-3.4035868845939676E-3</v>
      </c>
      <c r="AB26" s="54">
        <v>-3.8991142300884296E-2</v>
      </c>
    </row>
    <row r="27" spans="1:32" ht="30" customHeight="1" x14ac:dyDescent="0.25">
      <c r="J27" s="21"/>
      <c r="K27" s="21"/>
      <c r="L27" s="21"/>
      <c r="M27" s="21"/>
      <c r="S27" s="88" t="s">
        <v>394</v>
      </c>
      <c r="T27" s="88"/>
      <c r="U27" s="88"/>
      <c r="V27" s="54"/>
      <c r="W27" s="54">
        <v>3.3458282111535897E-2</v>
      </c>
      <c r="X27" s="54"/>
      <c r="Y27" s="54"/>
      <c r="Z27" s="54">
        <v>-2.2380192222377304E-2</v>
      </c>
      <c r="AA27" s="54">
        <v>-7.2889717021158318E-2</v>
      </c>
      <c r="AB27" s="54">
        <v>-0.135679588442153</v>
      </c>
    </row>
    <row r="28" spans="1:32" ht="30" customHeight="1" x14ac:dyDescent="0.25">
      <c r="J28" s="21"/>
      <c r="K28" s="21"/>
      <c r="L28" s="21"/>
      <c r="M28" s="21"/>
      <c r="S28" s="88" t="s">
        <v>390</v>
      </c>
      <c r="T28" s="88"/>
      <c r="U28" s="88"/>
      <c r="V28" s="54"/>
      <c r="W28" s="54">
        <v>-1.4312294816259508E-2</v>
      </c>
      <c r="X28" s="54"/>
      <c r="Y28" s="54"/>
      <c r="Z28" s="54">
        <v>-4.6665716058336248E-2</v>
      </c>
      <c r="AA28" s="54">
        <v>-7.7534105837294143E-2</v>
      </c>
      <c r="AB28" s="54">
        <v>-0.13917835609739182</v>
      </c>
    </row>
    <row r="29" spans="1:32" ht="31.5" customHeight="1" x14ac:dyDescent="0.25">
      <c r="S29" s="88" t="s">
        <v>392</v>
      </c>
      <c r="T29" s="88"/>
      <c r="U29" s="88"/>
      <c r="V29" s="54">
        <v>-5.2784014536650936E-2</v>
      </c>
      <c r="W29" s="54">
        <v>-9.6526964838960505E-2</v>
      </c>
      <c r="X29" s="54"/>
      <c r="Y29" s="54"/>
      <c r="Z29" s="54"/>
      <c r="AA29" s="54">
        <v>-3.3118447250739536E-2</v>
      </c>
      <c r="AB29" s="54">
        <v>-7.8952382382209918E-2</v>
      </c>
    </row>
    <row r="33" spans="19:28" ht="33" customHeight="1" x14ac:dyDescent="0.25">
      <c r="S33" s="80"/>
      <c r="T33" s="80"/>
      <c r="U33" s="80"/>
      <c r="V33" s="21"/>
      <c r="W33" s="21"/>
      <c r="X33" s="21"/>
      <c r="Y33" s="21"/>
      <c r="Z33" s="21"/>
      <c r="AA33" s="21"/>
      <c r="AB33" s="21"/>
    </row>
    <row r="34" spans="19:28" ht="26.25" customHeight="1" x14ac:dyDescent="0.25">
      <c r="S34" s="80"/>
      <c r="T34" s="80"/>
      <c r="U34" s="80"/>
      <c r="V34" s="21"/>
      <c r="W34" s="21"/>
      <c r="X34" s="21"/>
      <c r="Y34" s="21"/>
      <c r="Z34" s="21"/>
      <c r="AA34" s="21"/>
      <c r="AB34" s="21"/>
    </row>
    <row r="37" spans="19:28" x14ac:dyDescent="0.25">
      <c r="S37" s="80"/>
      <c r="T37" s="80"/>
      <c r="U37" s="80"/>
      <c r="V37" s="21"/>
      <c r="W37" s="21"/>
      <c r="X37" s="21"/>
      <c r="Y37" s="21"/>
      <c r="Z37" s="21"/>
      <c r="AA37" s="21"/>
      <c r="AB37" s="21"/>
    </row>
  </sheetData>
  <mergeCells count="17">
    <mergeCell ref="S28:U28"/>
    <mergeCell ref="S37:U37"/>
    <mergeCell ref="S33:U33"/>
    <mergeCell ref="S34:U34"/>
    <mergeCell ref="S29:U29"/>
    <mergeCell ref="E21:G21"/>
    <mergeCell ref="S21:U21"/>
    <mergeCell ref="S25:U25"/>
    <mergeCell ref="S26:U26"/>
    <mergeCell ref="S27:U27"/>
    <mergeCell ref="S17:U17"/>
    <mergeCell ref="E18:G18"/>
    <mergeCell ref="E19:G19"/>
    <mergeCell ref="E20:G20"/>
    <mergeCell ref="S18:U18"/>
    <mergeCell ref="S19:U19"/>
    <mergeCell ref="S20:U20"/>
  </mergeCells>
  <pageMargins left="0.7" right="0.7" top="0.75" bottom="0.75" header="0.3" footer="0.3"/>
  <pageSetup orientation="portrait" horizontalDpi="200"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80" zoomScaleNormal="80" workbookViewId="0"/>
  </sheetViews>
  <sheetFormatPr defaultRowHeight="15" x14ac:dyDescent="0.25"/>
  <cols>
    <col min="1" max="1" width="20.7109375" customWidth="1"/>
    <col min="2" max="4" width="13.140625" customWidth="1"/>
    <col min="5" max="5" width="19.7109375" customWidth="1"/>
    <col min="6" max="6" width="21.28515625" customWidth="1"/>
    <col min="7" max="10" width="13.140625" customWidth="1"/>
    <col min="12" max="12" width="10" customWidth="1"/>
    <col min="15" max="15" width="15.42578125" customWidth="1"/>
    <col min="16" max="16" width="18.5703125" customWidth="1"/>
  </cols>
  <sheetData>
    <row r="1" spans="1:16" ht="18.75" customHeight="1" x14ac:dyDescent="0.25">
      <c r="A1" s="28" t="s">
        <v>396</v>
      </c>
      <c r="B1" s="5"/>
      <c r="C1" s="5"/>
      <c r="D1" s="5"/>
      <c r="E1" s="5"/>
      <c r="F1" s="5"/>
      <c r="G1" s="47"/>
      <c r="H1" s="80" t="s">
        <v>397</v>
      </c>
      <c r="I1" s="80"/>
      <c r="J1" s="80"/>
    </row>
    <row r="2" spans="1:16" ht="18" customHeight="1" x14ac:dyDescent="0.25">
      <c r="A2" s="5"/>
      <c r="B2" s="80" t="s">
        <v>398</v>
      </c>
      <c r="C2" s="80"/>
      <c r="D2" s="80"/>
      <c r="E2" s="70"/>
      <c r="F2" s="70"/>
      <c r="G2" s="47"/>
      <c r="H2" s="5"/>
      <c r="J2" s="80" t="s">
        <v>399</v>
      </c>
      <c r="K2" s="80"/>
      <c r="L2" s="80"/>
      <c r="M2" s="79" t="s">
        <v>400</v>
      </c>
      <c r="N2" s="79"/>
    </row>
    <row r="3" spans="1:16" x14ac:dyDescent="0.25">
      <c r="A3" s="5"/>
      <c r="B3" s="46">
        <v>14245</v>
      </c>
      <c r="C3" s="46">
        <v>17014</v>
      </c>
      <c r="D3" s="46">
        <v>17379</v>
      </c>
      <c r="E3" s="46"/>
      <c r="F3" s="46"/>
      <c r="G3" s="47"/>
      <c r="H3" s="5"/>
      <c r="I3" t="s">
        <v>401</v>
      </c>
      <c r="J3" s="5">
        <v>1938</v>
      </c>
      <c r="K3" s="5">
        <v>1946</v>
      </c>
      <c r="L3" t="s">
        <v>402</v>
      </c>
      <c r="M3" s="7">
        <v>17015</v>
      </c>
      <c r="N3" s="7">
        <v>17380</v>
      </c>
      <c r="O3" t="s">
        <v>403</v>
      </c>
      <c r="P3" t="s">
        <v>404</v>
      </c>
    </row>
    <row r="4" spans="1:16" ht="30" customHeight="1" x14ac:dyDescent="0.25">
      <c r="A4" s="5" t="s">
        <v>405</v>
      </c>
      <c r="B4" s="5">
        <v>1552.2</v>
      </c>
      <c r="C4" s="5">
        <v>1828.1</v>
      </c>
      <c r="D4" s="5">
        <v>1867.6</v>
      </c>
      <c r="E4" s="5"/>
      <c r="F4" s="5"/>
      <c r="G4" s="47"/>
      <c r="H4" s="5" t="s">
        <v>58</v>
      </c>
      <c r="I4" s="5" t="s">
        <v>406</v>
      </c>
      <c r="J4" s="5">
        <v>9359.7000000000007</v>
      </c>
      <c r="K4">
        <v>6342</v>
      </c>
      <c r="L4">
        <v>7746.7</v>
      </c>
      <c r="M4" s="5">
        <v>525.4</v>
      </c>
      <c r="N4" s="5">
        <v>684.5</v>
      </c>
      <c r="O4" s="21">
        <f>(N4-M4)/M4</f>
        <v>0.30281690140845074</v>
      </c>
      <c r="P4" s="21">
        <f>L4/J4</f>
        <v>0.8276654166266012</v>
      </c>
    </row>
    <row r="5" spans="1:16" ht="36" customHeight="1" x14ac:dyDescent="0.25">
      <c r="A5" s="5" t="s">
        <v>407</v>
      </c>
      <c r="B5" s="5">
        <v>293.39999999999998</v>
      </c>
      <c r="C5" s="5">
        <v>344.7</v>
      </c>
      <c r="D5" s="5">
        <v>352.7</v>
      </c>
      <c r="E5" s="5"/>
      <c r="F5" s="5"/>
      <c r="G5" s="47"/>
      <c r="H5" s="5" t="s">
        <v>408</v>
      </c>
      <c r="I5" s="5" t="s">
        <v>406</v>
      </c>
      <c r="J5" s="5">
        <v>42.9</v>
      </c>
      <c r="K5">
        <v>679.4</v>
      </c>
      <c r="L5">
        <v>642.29999999999995</v>
      </c>
      <c r="M5" s="5">
        <v>56.8</v>
      </c>
      <c r="N5" s="5">
        <v>45.6</v>
      </c>
      <c r="O5" s="21">
        <f t="shared" ref="O5:O28" si="0">(N5-M5)/M5</f>
        <v>-0.19718309859154923</v>
      </c>
      <c r="P5" s="21">
        <f t="shared" ref="P5:P28" si="1">L5/J5</f>
        <v>14.972027972027972</v>
      </c>
    </row>
    <row r="6" spans="1:16" ht="23.25" customHeight="1" x14ac:dyDescent="0.25">
      <c r="A6" s="5" t="s">
        <v>409</v>
      </c>
      <c r="B6" s="5">
        <v>70.099999999999994</v>
      </c>
      <c r="C6" s="5">
        <v>60.8</v>
      </c>
      <c r="D6" s="5">
        <v>74</v>
      </c>
      <c r="E6" s="5"/>
      <c r="F6" s="5"/>
      <c r="G6" s="47"/>
      <c r="H6" s="5" t="s">
        <v>410</v>
      </c>
      <c r="I6" s="5" t="s">
        <v>406</v>
      </c>
      <c r="J6" s="5">
        <v>467.1</v>
      </c>
      <c r="K6">
        <v>125</v>
      </c>
      <c r="L6">
        <v>248.1</v>
      </c>
      <c r="M6" s="5">
        <v>13.7</v>
      </c>
      <c r="N6" s="5">
        <v>36.4</v>
      </c>
      <c r="O6" s="21">
        <f t="shared" si="0"/>
        <v>1.6569343065693432</v>
      </c>
      <c r="P6" s="21">
        <f t="shared" si="1"/>
        <v>0.53114964675658316</v>
      </c>
    </row>
    <row r="7" spans="1:16" ht="22.5" customHeight="1" x14ac:dyDescent="0.25">
      <c r="A7" s="5" t="s">
        <v>411</v>
      </c>
      <c r="B7" s="5">
        <v>22.9</v>
      </c>
      <c r="C7" s="5">
        <v>20.2</v>
      </c>
      <c r="D7" s="5">
        <v>21</v>
      </c>
      <c r="E7" s="5"/>
      <c r="F7" s="5"/>
      <c r="G7" s="47"/>
      <c r="H7" s="5" t="s">
        <v>158</v>
      </c>
      <c r="I7" s="5" t="s">
        <v>406</v>
      </c>
      <c r="J7" s="5">
        <v>369.9</v>
      </c>
      <c r="K7">
        <v>132.9</v>
      </c>
      <c r="L7">
        <v>214.3</v>
      </c>
      <c r="M7" s="5">
        <v>15.4</v>
      </c>
      <c r="N7" s="5">
        <v>21.5</v>
      </c>
      <c r="O7" s="21">
        <f t="shared" si="0"/>
        <v>0.39610389610389607</v>
      </c>
      <c r="P7" s="21">
        <f t="shared" si="1"/>
        <v>0.57934576912679114</v>
      </c>
    </row>
    <row r="8" spans="1:16" ht="31.5" customHeight="1" x14ac:dyDescent="0.25">
      <c r="A8" s="5" t="s">
        <v>412</v>
      </c>
      <c r="B8" s="5">
        <v>12.3</v>
      </c>
      <c r="C8" s="5">
        <v>15.1</v>
      </c>
      <c r="D8" s="5">
        <v>16.2</v>
      </c>
      <c r="E8" s="5"/>
      <c r="F8" s="5"/>
      <c r="G8" s="47"/>
      <c r="H8" s="5" t="s">
        <v>413</v>
      </c>
      <c r="I8" s="5" t="s">
        <v>406</v>
      </c>
      <c r="J8" s="5">
        <v>46.2</v>
      </c>
      <c r="K8">
        <v>52.8</v>
      </c>
      <c r="L8">
        <v>88.8</v>
      </c>
      <c r="M8" s="5">
        <v>4.8</v>
      </c>
      <c r="N8" s="5">
        <v>10.6</v>
      </c>
      <c r="O8" s="21">
        <f t="shared" si="0"/>
        <v>1.2083333333333333</v>
      </c>
      <c r="P8" s="21">
        <f t="shared" si="1"/>
        <v>1.9220779220779218</v>
      </c>
    </row>
    <row r="9" spans="1:16" ht="27" customHeight="1" x14ac:dyDescent="0.25">
      <c r="A9" s="5" t="s">
        <v>414</v>
      </c>
      <c r="B9" s="5">
        <v>97.6</v>
      </c>
      <c r="C9" s="5">
        <v>111</v>
      </c>
      <c r="D9" s="5">
        <v>124.9</v>
      </c>
      <c r="E9" s="5"/>
      <c r="F9" s="5"/>
      <c r="G9" s="47"/>
      <c r="H9" s="5" t="s">
        <v>415</v>
      </c>
      <c r="I9" s="5" t="s">
        <v>406</v>
      </c>
      <c r="J9" s="5">
        <v>335.5</v>
      </c>
      <c r="K9">
        <v>158.80000000000001</v>
      </c>
      <c r="L9">
        <v>258.2</v>
      </c>
      <c r="M9" s="5">
        <v>17.399999999999999</v>
      </c>
      <c r="N9" s="5">
        <v>28.4</v>
      </c>
      <c r="O9" s="21">
        <f t="shared" si="0"/>
        <v>0.63218390804597702</v>
      </c>
      <c r="P9" s="21">
        <f t="shared" si="1"/>
        <v>0.76959761549925476</v>
      </c>
    </row>
    <row r="10" spans="1:16" ht="30" x14ac:dyDescent="0.25">
      <c r="A10" s="5" t="s">
        <v>126</v>
      </c>
      <c r="B10" s="5">
        <v>222.8</v>
      </c>
      <c r="C10" s="5">
        <v>235.7</v>
      </c>
      <c r="D10" s="5">
        <v>242.5</v>
      </c>
      <c r="E10" s="5"/>
      <c r="F10" s="5"/>
      <c r="G10" s="47"/>
      <c r="H10" s="5" t="s">
        <v>416</v>
      </c>
      <c r="I10" s="5" t="s">
        <v>406</v>
      </c>
      <c r="J10" s="5"/>
      <c r="K10">
        <v>1.5</v>
      </c>
      <c r="L10">
        <v>3.8</v>
      </c>
      <c r="M10" s="5">
        <v>0.4</v>
      </c>
      <c r="N10" s="5">
        <v>1.9</v>
      </c>
      <c r="O10" s="21">
        <f t="shared" si="0"/>
        <v>3.75</v>
      </c>
      <c r="P10" s="21"/>
    </row>
    <row r="11" spans="1:16" ht="20.25" customHeight="1" x14ac:dyDescent="0.25">
      <c r="A11" s="5" t="s">
        <v>417</v>
      </c>
      <c r="B11" s="5">
        <v>71.099999999999994</v>
      </c>
      <c r="C11" s="5">
        <v>126.7</v>
      </c>
      <c r="D11" s="5">
        <v>131.19999999999999</v>
      </c>
      <c r="E11" s="5"/>
      <c r="F11" s="5"/>
      <c r="G11" s="47"/>
      <c r="H11" s="5" t="s">
        <v>350</v>
      </c>
      <c r="I11" s="5" t="s">
        <v>406</v>
      </c>
      <c r="J11" s="5">
        <v>647.5</v>
      </c>
      <c r="K11">
        <v>354.1</v>
      </c>
      <c r="L11">
        <v>510.4</v>
      </c>
      <c r="M11" s="5">
        <v>33.6</v>
      </c>
      <c r="N11" s="5">
        <v>56.2</v>
      </c>
      <c r="O11" s="21">
        <f t="shared" si="0"/>
        <v>0.67261904761904767</v>
      </c>
      <c r="P11" s="21">
        <f t="shared" si="1"/>
        <v>0.78826254826254827</v>
      </c>
    </row>
    <row r="12" spans="1:16" ht="34.5" customHeight="1" x14ac:dyDescent="0.25">
      <c r="A12" s="5" t="s">
        <v>418</v>
      </c>
      <c r="B12" s="5">
        <v>34.5</v>
      </c>
      <c r="C12" s="5">
        <v>39.6</v>
      </c>
      <c r="D12" s="5">
        <v>39.700000000000003</v>
      </c>
      <c r="E12" s="5"/>
      <c r="F12" s="5"/>
      <c r="G12" s="47"/>
      <c r="H12" s="5" t="s">
        <v>419</v>
      </c>
      <c r="I12" s="5" t="s">
        <v>406</v>
      </c>
      <c r="J12" s="5">
        <v>384.6</v>
      </c>
      <c r="K12">
        <v>197.7</v>
      </c>
      <c r="L12">
        <v>282</v>
      </c>
      <c r="M12" s="5">
        <v>22.1</v>
      </c>
      <c r="N12" s="5">
        <v>32.299999999999997</v>
      </c>
      <c r="O12" s="21">
        <f t="shared" si="0"/>
        <v>0.46153846153846134</v>
      </c>
      <c r="P12" s="21">
        <f t="shared" si="1"/>
        <v>0.73322932917316685</v>
      </c>
    </row>
    <row r="13" spans="1:16" ht="21" customHeight="1" x14ac:dyDescent="0.25">
      <c r="A13" s="5" t="s">
        <v>420</v>
      </c>
      <c r="B13" s="5">
        <v>727.5</v>
      </c>
      <c r="C13" s="5">
        <v>865.3</v>
      </c>
      <c r="D13" s="5">
        <v>865.4</v>
      </c>
      <c r="E13" s="5"/>
      <c r="F13" s="5"/>
      <c r="G13" s="47"/>
      <c r="H13" s="5" t="s">
        <v>421</v>
      </c>
      <c r="I13" s="5" t="s">
        <v>406</v>
      </c>
      <c r="J13" s="5">
        <v>1.5</v>
      </c>
      <c r="K13">
        <v>2.1</v>
      </c>
      <c r="L13">
        <v>3.7</v>
      </c>
      <c r="M13" s="5">
        <v>0.2</v>
      </c>
      <c r="N13" s="5">
        <v>0.4</v>
      </c>
      <c r="O13" s="21">
        <f t="shared" si="0"/>
        <v>1</v>
      </c>
      <c r="P13" s="21">
        <f t="shared" si="1"/>
        <v>2.4666666666666668</v>
      </c>
    </row>
    <row r="14" spans="1:16" x14ac:dyDescent="0.25">
      <c r="A14" s="5"/>
      <c r="B14" s="5"/>
      <c r="C14" s="5"/>
      <c r="D14" s="5"/>
      <c r="E14" s="5"/>
      <c r="F14" s="5"/>
      <c r="G14" s="47"/>
      <c r="H14" s="5" t="s">
        <v>422</v>
      </c>
      <c r="I14" s="5" t="s">
        <v>423</v>
      </c>
      <c r="J14" s="5">
        <v>90996</v>
      </c>
      <c r="K14">
        <v>38500</v>
      </c>
      <c r="L14">
        <v>50369</v>
      </c>
      <c r="M14" s="5">
        <v>4000</v>
      </c>
      <c r="N14" s="5">
        <v>14470</v>
      </c>
      <c r="O14" s="21">
        <f t="shared" si="0"/>
        <v>2.6175000000000002</v>
      </c>
      <c r="P14" s="21">
        <f t="shared" si="1"/>
        <v>0.5535298254868346</v>
      </c>
    </row>
    <row r="15" spans="1:16" ht="30" x14ac:dyDescent="0.25">
      <c r="A15" s="47" t="s">
        <v>424</v>
      </c>
      <c r="B15" s="47"/>
      <c r="C15" s="47"/>
      <c r="D15" s="47"/>
      <c r="E15" s="47"/>
      <c r="F15" s="47"/>
      <c r="G15" s="47"/>
      <c r="H15" s="5" t="s">
        <v>425</v>
      </c>
      <c r="I15" s="5" t="s">
        <v>423</v>
      </c>
      <c r="J15" s="5">
        <v>480192</v>
      </c>
      <c r="K15">
        <v>64452</v>
      </c>
      <c r="L15">
        <v>81166</v>
      </c>
      <c r="M15" s="5">
        <v>3246</v>
      </c>
      <c r="N15" s="5">
        <v>18220</v>
      </c>
      <c r="O15" s="21">
        <f t="shared" si="0"/>
        <v>4.6130622304374613</v>
      </c>
      <c r="P15" s="21">
        <f t="shared" si="1"/>
        <v>0.16902822204451554</v>
      </c>
    </row>
    <row r="16" spans="1:16" x14ac:dyDescent="0.25">
      <c r="A16" s="5" t="s">
        <v>426</v>
      </c>
      <c r="B16" s="5" t="s">
        <v>165</v>
      </c>
      <c r="C16" s="5" t="s">
        <v>166</v>
      </c>
      <c r="D16" s="5" t="s">
        <v>167</v>
      </c>
      <c r="E16" s="5"/>
      <c r="F16" s="5"/>
      <c r="G16" s="47"/>
      <c r="H16" s="5" t="s">
        <v>427</v>
      </c>
      <c r="I16" s="5" t="s">
        <v>406</v>
      </c>
      <c r="J16" s="5">
        <v>426</v>
      </c>
      <c r="K16">
        <v>132</v>
      </c>
      <c r="L16">
        <v>143</v>
      </c>
      <c r="M16" s="5">
        <v>14</v>
      </c>
      <c r="N16" s="5">
        <v>26</v>
      </c>
      <c r="O16" s="21">
        <f t="shared" si="0"/>
        <v>0.8571428571428571</v>
      </c>
      <c r="P16" s="21">
        <f t="shared" si="1"/>
        <v>0.33568075117370894</v>
      </c>
    </row>
    <row r="17" spans="1:16" ht="30" x14ac:dyDescent="0.25">
      <c r="A17" s="5"/>
      <c r="B17" s="79" t="s">
        <v>428</v>
      </c>
      <c r="C17" s="79"/>
      <c r="D17" s="79"/>
      <c r="E17" s="70" t="s">
        <v>429</v>
      </c>
      <c r="F17" s="70" t="s">
        <v>430</v>
      </c>
      <c r="G17" s="13"/>
      <c r="H17" s="5" t="s">
        <v>431</v>
      </c>
      <c r="I17" s="5" t="s">
        <v>406</v>
      </c>
      <c r="J17" s="5">
        <v>186</v>
      </c>
      <c r="K17">
        <v>84</v>
      </c>
      <c r="L17">
        <v>120</v>
      </c>
      <c r="M17" s="5">
        <v>7</v>
      </c>
      <c r="N17" s="5">
        <v>17</v>
      </c>
      <c r="O17" s="21">
        <f t="shared" si="0"/>
        <v>1.4285714285714286</v>
      </c>
      <c r="P17" s="21">
        <f t="shared" si="1"/>
        <v>0.64516129032258063</v>
      </c>
    </row>
    <row r="18" spans="1:16" x14ac:dyDescent="0.25">
      <c r="A18" t="s">
        <v>432</v>
      </c>
      <c r="B18">
        <v>28555</v>
      </c>
      <c r="C18">
        <v>4250</v>
      </c>
      <c r="D18">
        <v>10183</v>
      </c>
      <c r="E18" s="21">
        <f>(D18-C18)/C18</f>
        <v>1.3959999999999999</v>
      </c>
      <c r="F18" s="21">
        <f>(D18-B18)/B18</f>
        <v>-0.64338994922080195</v>
      </c>
      <c r="G18" s="13"/>
      <c r="H18" s="5" t="s">
        <v>433</v>
      </c>
      <c r="I18" s="5" t="s">
        <v>434</v>
      </c>
      <c r="J18" s="5">
        <v>3600</v>
      </c>
      <c r="K18">
        <v>1200</v>
      </c>
      <c r="L18">
        <v>3099</v>
      </c>
      <c r="M18" s="5">
        <v>25</v>
      </c>
      <c r="N18" s="5">
        <v>80</v>
      </c>
      <c r="O18" s="21">
        <f t="shared" si="0"/>
        <v>2.2000000000000002</v>
      </c>
      <c r="P18" s="21">
        <f t="shared" si="1"/>
        <v>0.86083333333333334</v>
      </c>
    </row>
    <row r="19" spans="1:16" ht="30" x14ac:dyDescent="0.25">
      <c r="A19" t="s">
        <v>174</v>
      </c>
      <c r="B19">
        <v>4367</v>
      </c>
      <c r="C19">
        <v>322</v>
      </c>
      <c r="D19">
        <v>476</v>
      </c>
      <c r="E19" s="21">
        <f t="shared" ref="E19:E30" si="2">(D19-C19)/C19</f>
        <v>0.47826086956521741</v>
      </c>
      <c r="F19" s="21">
        <f t="shared" ref="F19:F30" si="3">(D19-B19)/B19</f>
        <v>-0.89100068697046031</v>
      </c>
      <c r="G19" s="13"/>
      <c r="H19" s="5" t="s">
        <v>435</v>
      </c>
      <c r="I19" s="5" t="s">
        <v>434</v>
      </c>
      <c r="J19" s="5">
        <v>147188</v>
      </c>
      <c r="K19">
        <v>64699</v>
      </c>
      <c r="L19">
        <v>107724</v>
      </c>
      <c r="M19" s="5">
        <v>3535</v>
      </c>
      <c r="N19" s="5">
        <v>10994</v>
      </c>
      <c r="O19" s="21">
        <f t="shared" si="0"/>
        <v>2.1100424328147098</v>
      </c>
      <c r="P19" s="21">
        <f t="shared" si="1"/>
        <v>0.73188031633013562</v>
      </c>
    </row>
    <row r="20" spans="1:16" x14ac:dyDescent="0.25">
      <c r="A20" t="s">
        <v>175</v>
      </c>
      <c r="B20">
        <v>3944</v>
      </c>
      <c r="C20">
        <v>298</v>
      </c>
      <c r="D20">
        <v>356</v>
      </c>
      <c r="E20" s="21">
        <f t="shared" si="2"/>
        <v>0.19463087248322147</v>
      </c>
      <c r="F20" s="21">
        <f t="shared" si="3"/>
        <v>-0.90973630831643004</v>
      </c>
      <c r="G20" s="13"/>
      <c r="H20" s="5" t="s">
        <v>436</v>
      </c>
      <c r="I20" s="5" t="s">
        <v>437</v>
      </c>
      <c r="J20" s="5">
        <v>20988</v>
      </c>
      <c r="K20">
        <v>8910</v>
      </c>
      <c r="L20">
        <v>15461</v>
      </c>
      <c r="M20" s="5">
        <v>1050</v>
      </c>
      <c r="N20" s="5">
        <v>1770</v>
      </c>
      <c r="O20" s="21">
        <f t="shared" si="0"/>
        <v>0.68571428571428572</v>
      </c>
      <c r="P20" s="21">
        <f t="shared" si="1"/>
        <v>0.73665904326281684</v>
      </c>
    </row>
    <row r="21" spans="1:16" ht="30" x14ac:dyDescent="0.25">
      <c r="A21" t="s">
        <v>176</v>
      </c>
      <c r="B21">
        <v>3198</v>
      </c>
      <c r="C21">
        <v>409</v>
      </c>
      <c r="D21">
        <v>170</v>
      </c>
      <c r="E21" s="21">
        <f t="shared" si="2"/>
        <v>-0.58435207823960877</v>
      </c>
      <c r="F21" s="21">
        <f t="shared" si="3"/>
        <v>-0.94684177611006881</v>
      </c>
      <c r="G21" s="13"/>
      <c r="H21" s="5" t="s">
        <v>438</v>
      </c>
      <c r="I21" s="5" t="s">
        <v>434</v>
      </c>
      <c r="J21" s="5">
        <v>20004</v>
      </c>
      <c r="K21">
        <v>3471</v>
      </c>
      <c r="L21">
        <v>6650</v>
      </c>
      <c r="M21" s="5">
        <v>331</v>
      </c>
      <c r="N21" s="5">
        <v>739</v>
      </c>
      <c r="O21" s="21">
        <f t="shared" si="0"/>
        <v>1.2326283987915407</v>
      </c>
      <c r="P21" s="21">
        <f t="shared" si="1"/>
        <v>0.33243351329734055</v>
      </c>
    </row>
    <row r="22" spans="1:16" x14ac:dyDescent="0.25">
      <c r="A22" t="s">
        <v>177</v>
      </c>
      <c r="B22">
        <v>2397</v>
      </c>
      <c r="C22">
        <v>137</v>
      </c>
      <c r="D22">
        <v>108</v>
      </c>
      <c r="E22" s="21">
        <f t="shared" si="2"/>
        <v>-0.21167883211678831</v>
      </c>
      <c r="F22" s="21">
        <f t="shared" si="3"/>
        <v>-0.95494367959949933</v>
      </c>
      <c r="G22" s="13"/>
      <c r="H22" s="5" t="s">
        <v>439</v>
      </c>
      <c r="I22" s="5" t="s">
        <v>437</v>
      </c>
      <c r="J22" s="5">
        <v>10704</v>
      </c>
      <c r="K22">
        <v>1834</v>
      </c>
      <c r="L22">
        <v>4120</v>
      </c>
      <c r="M22" s="5">
        <v>160</v>
      </c>
      <c r="N22" s="5">
        <v>460</v>
      </c>
      <c r="O22" s="21">
        <f t="shared" si="0"/>
        <v>1.875</v>
      </c>
      <c r="P22" s="21">
        <f t="shared" si="1"/>
        <v>0.38490284005979075</v>
      </c>
    </row>
    <row r="23" spans="1:16" ht="30" x14ac:dyDescent="0.25">
      <c r="A23" t="s">
        <v>178</v>
      </c>
      <c r="B23">
        <v>1809</v>
      </c>
      <c r="C23">
        <v>422</v>
      </c>
      <c r="D23">
        <v>551</v>
      </c>
      <c r="E23" s="21">
        <f t="shared" si="2"/>
        <v>0.30568720379146919</v>
      </c>
      <c r="F23" s="21">
        <f t="shared" si="3"/>
        <v>-0.695411829740188</v>
      </c>
      <c r="G23" s="13"/>
      <c r="H23" s="5" t="s">
        <v>440</v>
      </c>
      <c r="I23" s="5" t="s">
        <v>434</v>
      </c>
      <c r="J23" s="5">
        <v>39996</v>
      </c>
      <c r="K23">
        <v>5641</v>
      </c>
      <c r="L23">
        <v>6574</v>
      </c>
      <c r="M23" s="5">
        <v>322</v>
      </c>
      <c r="N23" s="5">
        <v>788</v>
      </c>
      <c r="O23" s="21">
        <f t="shared" si="0"/>
        <v>1.4472049689440993</v>
      </c>
      <c r="P23" s="21">
        <f t="shared" si="1"/>
        <v>0.16436643664366438</v>
      </c>
    </row>
    <row r="24" spans="1:16" ht="30" x14ac:dyDescent="0.25">
      <c r="A24" t="s">
        <v>179</v>
      </c>
      <c r="B24">
        <v>1287</v>
      </c>
      <c r="C24">
        <v>152</v>
      </c>
      <c r="D24">
        <v>154</v>
      </c>
      <c r="E24" s="21">
        <f t="shared" si="2"/>
        <v>1.3157894736842105E-2</v>
      </c>
      <c r="F24" s="21">
        <f t="shared" si="3"/>
        <v>-0.88034188034188032</v>
      </c>
      <c r="G24" s="13"/>
      <c r="H24" s="5" t="s">
        <v>441</v>
      </c>
      <c r="I24" s="5" t="s">
        <v>434</v>
      </c>
      <c r="J24" s="5">
        <v>4500</v>
      </c>
      <c r="K24">
        <v>3931</v>
      </c>
      <c r="L24">
        <v>5539</v>
      </c>
      <c r="M24" s="5">
        <v>138</v>
      </c>
      <c r="N24" s="5">
        <v>486</v>
      </c>
      <c r="O24" s="21">
        <f t="shared" si="0"/>
        <v>2.5217391304347827</v>
      </c>
      <c r="P24" s="21">
        <f t="shared" si="1"/>
        <v>1.2308888888888889</v>
      </c>
    </row>
    <row r="25" spans="1:16" x14ac:dyDescent="0.25">
      <c r="A25" t="s">
        <v>180</v>
      </c>
      <c r="B25">
        <v>1256</v>
      </c>
      <c r="C25">
        <v>149</v>
      </c>
      <c r="D25">
        <v>102</v>
      </c>
      <c r="E25" s="21">
        <f t="shared" si="2"/>
        <v>-0.31543624161073824</v>
      </c>
      <c r="F25" s="21">
        <f t="shared" si="3"/>
        <v>-0.91878980891719741</v>
      </c>
      <c r="G25" s="13"/>
      <c r="H25" s="5" t="s">
        <v>442</v>
      </c>
      <c r="I25" s="5" t="s">
        <v>437</v>
      </c>
      <c r="J25" s="5">
        <v>7755.6</v>
      </c>
      <c r="K25">
        <v>1983.6</v>
      </c>
      <c r="L25">
        <v>3528.2</v>
      </c>
      <c r="M25" s="5">
        <v>147.4</v>
      </c>
      <c r="N25" s="5">
        <v>491.7</v>
      </c>
      <c r="O25" s="21">
        <f t="shared" si="0"/>
        <v>2.3358208955223878</v>
      </c>
      <c r="P25" s="21">
        <f t="shared" si="1"/>
        <v>0.45492289442467376</v>
      </c>
    </row>
    <row r="26" spans="1:16" x14ac:dyDescent="0.25">
      <c r="A26" t="s">
        <v>181</v>
      </c>
      <c r="B26">
        <v>1420</v>
      </c>
      <c r="C26">
        <v>416</v>
      </c>
      <c r="D26">
        <v>853</v>
      </c>
      <c r="E26" s="21">
        <f t="shared" si="2"/>
        <v>1.0504807692307692</v>
      </c>
      <c r="F26" s="21">
        <f t="shared" si="3"/>
        <v>-0.39929577464788735</v>
      </c>
      <c r="G26" s="13"/>
      <c r="H26" s="5" t="s">
        <v>443</v>
      </c>
      <c r="I26" s="5" t="s">
        <v>437</v>
      </c>
      <c r="J26" s="5">
        <v>1350</v>
      </c>
      <c r="K26">
        <v>304.8</v>
      </c>
      <c r="L26">
        <v>315.8</v>
      </c>
      <c r="M26" s="5">
        <v>13.9</v>
      </c>
      <c r="N26" s="5">
        <v>50.2</v>
      </c>
      <c r="O26" s="21">
        <f t="shared" si="0"/>
        <v>2.6115107913669067</v>
      </c>
      <c r="P26" s="21">
        <f t="shared" si="1"/>
        <v>0.23392592592592593</v>
      </c>
    </row>
    <row r="27" spans="1:16" ht="45" x14ac:dyDescent="0.25">
      <c r="A27" t="s">
        <v>201</v>
      </c>
      <c r="B27">
        <v>1530</v>
      </c>
      <c r="C27">
        <v>585</v>
      </c>
      <c r="D27">
        <v>916</v>
      </c>
      <c r="E27" s="21">
        <f t="shared" si="2"/>
        <v>0.5658119658119658</v>
      </c>
      <c r="F27" s="21">
        <f t="shared" si="3"/>
        <v>-0.40130718954248368</v>
      </c>
      <c r="G27" s="13"/>
      <c r="H27" s="5" t="s">
        <v>444</v>
      </c>
      <c r="I27" s="5" t="s">
        <v>445</v>
      </c>
      <c r="J27" s="5">
        <v>14496</v>
      </c>
      <c r="K27">
        <v>4776</v>
      </c>
      <c r="L27">
        <v>6237</v>
      </c>
      <c r="M27" s="5">
        <v>312</v>
      </c>
      <c r="N27" s="5">
        <v>740</v>
      </c>
      <c r="O27" s="21">
        <f t="shared" si="0"/>
        <v>1.3717948717948718</v>
      </c>
      <c r="P27" s="21">
        <f t="shared" si="1"/>
        <v>0.43025662251655628</v>
      </c>
    </row>
    <row r="28" spans="1:16" ht="30" x14ac:dyDescent="0.25">
      <c r="A28" t="s">
        <v>50</v>
      </c>
      <c r="B28">
        <v>1759</v>
      </c>
      <c r="C28">
        <v>984</v>
      </c>
      <c r="D28">
        <v>1135</v>
      </c>
      <c r="E28" s="21">
        <f t="shared" si="2"/>
        <v>0.15345528455284552</v>
      </c>
      <c r="F28" s="21">
        <f t="shared" si="3"/>
        <v>-0.35474701534963049</v>
      </c>
      <c r="G28" s="13"/>
      <c r="H28" s="5" t="s">
        <v>446</v>
      </c>
      <c r="I28" s="5" t="s">
        <v>447</v>
      </c>
      <c r="J28" s="5">
        <v>6000</v>
      </c>
      <c r="K28">
        <v>480</v>
      </c>
      <c r="L28">
        <v>1634</v>
      </c>
      <c r="M28" s="5">
        <v>60</v>
      </c>
      <c r="N28" s="5">
        <v>333</v>
      </c>
      <c r="O28" s="21">
        <f t="shared" si="0"/>
        <v>4.55</v>
      </c>
      <c r="P28" s="21">
        <f t="shared" si="1"/>
        <v>0.27233333333333332</v>
      </c>
    </row>
    <row r="29" spans="1:16" x14ac:dyDescent="0.25">
      <c r="A29" t="s">
        <v>183</v>
      </c>
      <c r="B29">
        <v>2723</v>
      </c>
      <c r="C29">
        <v>151</v>
      </c>
      <c r="D29">
        <v>1894</v>
      </c>
      <c r="E29" s="21">
        <f t="shared" si="2"/>
        <v>11.543046357615895</v>
      </c>
      <c r="F29" s="21">
        <f t="shared" si="3"/>
        <v>-0.30444362835108335</v>
      </c>
      <c r="G29" s="13"/>
    </row>
    <row r="30" spans="1:16" x14ac:dyDescent="0.25">
      <c r="A30" t="s">
        <v>44</v>
      </c>
      <c r="B30">
        <v>2865</v>
      </c>
      <c r="C30">
        <v>225</v>
      </c>
      <c r="D30">
        <v>3468</v>
      </c>
      <c r="E30" s="21">
        <f t="shared" si="2"/>
        <v>14.413333333333334</v>
      </c>
      <c r="F30" s="21">
        <f t="shared" si="3"/>
        <v>0.21047120418848167</v>
      </c>
      <c r="G30" s="13"/>
    </row>
  </sheetData>
  <mergeCells count="5">
    <mergeCell ref="B2:D2"/>
    <mergeCell ref="H1:J1"/>
    <mergeCell ref="J2:L2"/>
    <mergeCell ref="M2:N2"/>
    <mergeCell ref="B17:D17"/>
  </mergeCells>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80" zoomScaleNormal="80" workbookViewId="0"/>
  </sheetViews>
  <sheetFormatPr defaultRowHeight="15" x14ac:dyDescent="0.25"/>
  <cols>
    <col min="1" max="2" width="17" customWidth="1"/>
    <col min="3" max="3" width="21.7109375" customWidth="1"/>
    <col min="4" max="4" width="25.42578125" customWidth="1"/>
    <col min="5" max="5" width="21.7109375" customWidth="1"/>
    <col min="6" max="7" width="17" customWidth="1"/>
  </cols>
  <sheetData>
    <row r="1" spans="1:5" x14ac:dyDescent="0.25">
      <c r="A1" t="s">
        <v>448</v>
      </c>
    </row>
    <row r="3" spans="1:5" x14ac:dyDescent="0.25">
      <c r="A3" s="39" t="s">
        <v>449</v>
      </c>
      <c r="B3" s="39"/>
      <c r="C3" s="39"/>
      <c r="D3" s="39"/>
    </row>
    <row r="4" spans="1:5" x14ac:dyDescent="0.25">
      <c r="A4" s="5"/>
      <c r="B4" s="39"/>
      <c r="C4" s="76" t="s">
        <v>450</v>
      </c>
      <c r="D4" s="76"/>
      <c r="E4" s="76"/>
    </row>
    <row r="5" spans="1:5" x14ac:dyDescent="0.25">
      <c r="A5" s="5"/>
      <c r="B5" s="39" t="s">
        <v>451</v>
      </c>
      <c r="C5" s="39" t="s">
        <v>452</v>
      </c>
      <c r="D5" s="39" t="s">
        <v>453</v>
      </c>
      <c r="E5" s="39" t="s">
        <v>454</v>
      </c>
    </row>
    <row r="6" spans="1:5" x14ac:dyDescent="0.25">
      <c r="A6" s="38" t="s">
        <v>455</v>
      </c>
    </row>
    <row r="7" spans="1:5" x14ac:dyDescent="0.25">
      <c r="A7" s="5" t="s">
        <v>456</v>
      </c>
      <c r="B7">
        <v>1962</v>
      </c>
      <c r="C7">
        <v>173</v>
      </c>
      <c r="D7">
        <v>154</v>
      </c>
      <c r="E7">
        <v>470</v>
      </c>
    </row>
    <row r="8" spans="1:5" x14ac:dyDescent="0.25">
      <c r="A8" s="5" t="s">
        <v>457</v>
      </c>
      <c r="B8">
        <v>59</v>
      </c>
      <c r="C8">
        <v>12</v>
      </c>
      <c r="D8">
        <v>17</v>
      </c>
      <c r="E8">
        <v>7</v>
      </c>
    </row>
    <row r="9" spans="1:5" x14ac:dyDescent="0.25">
      <c r="A9" s="5" t="s">
        <v>123</v>
      </c>
      <c r="B9">
        <v>2</v>
      </c>
    </row>
    <row r="10" spans="1:5" x14ac:dyDescent="0.25">
      <c r="A10" s="38" t="s">
        <v>67</v>
      </c>
      <c r="B10">
        <v>2023</v>
      </c>
      <c r="C10">
        <v>185</v>
      </c>
      <c r="D10">
        <v>171</v>
      </c>
      <c r="E10">
        <v>477</v>
      </c>
    </row>
    <row r="11" spans="1:5" x14ac:dyDescent="0.25">
      <c r="A11" s="5" t="s">
        <v>458</v>
      </c>
      <c r="B11">
        <v>507</v>
      </c>
      <c r="C11">
        <v>64</v>
      </c>
      <c r="D11">
        <v>188</v>
      </c>
      <c r="E11">
        <v>96</v>
      </c>
    </row>
    <row r="12" spans="1:5" ht="30" x14ac:dyDescent="0.25">
      <c r="A12" s="5" t="s">
        <v>459</v>
      </c>
      <c r="B12">
        <v>40</v>
      </c>
      <c r="C12">
        <v>6</v>
      </c>
      <c r="D12">
        <v>12</v>
      </c>
      <c r="E12">
        <v>4</v>
      </c>
    </row>
    <row r="13" spans="1:5" ht="45" x14ac:dyDescent="0.25">
      <c r="A13" s="5" t="s">
        <v>460</v>
      </c>
      <c r="B13">
        <v>4574</v>
      </c>
      <c r="C13">
        <v>431</v>
      </c>
      <c r="D13">
        <v>780</v>
      </c>
      <c r="E13">
        <v>705</v>
      </c>
    </row>
    <row r="14" spans="1:5" ht="30" x14ac:dyDescent="0.25">
      <c r="A14" s="5" t="s">
        <v>461</v>
      </c>
      <c r="B14">
        <v>1218</v>
      </c>
      <c r="C14">
        <v>136</v>
      </c>
      <c r="D14">
        <v>125</v>
      </c>
      <c r="E14">
        <v>169</v>
      </c>
    </row>
    <row r="15" spans="1:5" x14ac:dyDescent="0.25">
      <c r="A15" s="5" t="s">
        <v>462</v>
      </c>
      <c r="B15">
        <v>363</v>
      </c>
      <c r="C15">
        <v>31</v>
      </c>
      <c r="D15">
        <v>26</v>
      </c>
      <c r="E15">
        <v>67</v>
      </c>
    </row>
    <row r="16" spans="1:5" x14ac:dyDescent="0.25">
      <c r="A16" s="38" t="s">
        <v>463</v>
      </c>
    </row>
    <row r="17" spans="1:5" x14ac:dyDescent="0.25">
      <c r="A17" s="5" t="s">
        <v>464</v>
      </c>
      <c r="B17" s="79">
        <v>17313</v>
      </c>
      <c r="C17" s="79">
        <v>1130</v>
      </c>
      <c r="D17">
        <v>914</v>
      </c>
      <c r="E17">
        <v>1540</v>
      </c>
    </row>
    <row r="18" spans="1:5" x14ac:dyDescent="0.25">
      <c r="A18" s="5" t="s">
        <v>465</v>
      </c>
      <c r="B18" s="79"/>
      <c r="C18" s="79"/>
      <c r="D18">
        <v>60</v>
      </c>
      <c r="E18">
        <v>100</v>
      </c>
    </row>
    <row r="19" spans="1:5" x14ac:dyDescent="0.25">
      <c r="A19" s="5" t="s">
        <v>466</v>
      </c>
      <c r="B19" s="79">
        <v>27913</v>
      </c>
      <c r="C19" s="79">
        <v>1427</v>
      </c>
      <c r="D19">
        <v>1193</v>
      </c>
      <c r="E19">
        <v>4064</v>
      </c>
    </row>
    <row r="20" spans="1:5" x14ac:dyDescent="0.25">
      <c r="A20" s="5" t="s">
        <v>467</v>
      </c>
      <c r="B20" s="79"/>
      <c r="C20" s="79"/>
      <c r="D20">
        <v>166</v>
      </c>
      <c r="E20">
        <v>346</v>
      </c>
    </row>
    <row r="21" spans="1:5" x14ac:dyDescent="0.25">
      <c r="A21" s="5" t="s">
        <v>468</v>
      </c>
      <c r="B21">
        <v>166</v>
      </c>
      <c r="C21">
        <v>101</v>
      </c>
      <c r="D21">
        <v>131</v>
      </c>
      <c r="E21">
        <v>298</v>
      </c>
    </row>
    <row r="22" spans="1:5" x14ac:dyDescent="0.25">
      <c r="A22" s="5" t="s">
        <v>268</v>
      </c>
      <c r="B22">
        <v>3757</v>
      </c>
      <c r="C22">
        <v>74</v>
      </c>
      <c r="D22">
        <v>154</v>
      </c>
      <c r="E22">
        <v>1187</v>
      </c>
    </row>
    <row r="23" spans="1:5" x14ac:dyDescent="0.25">
      <c r="A23" s="38" t="s">
        <v>67</v>
      </c>
      <c r="B23">
        <v>49149</v>
      </c>
      <c r="C23">
        <v>2732</v>
      </c>
      <c r="D23">
        <v>2618</v>
      </c>
      <c r="E23">
        <v>7535</v>
      </c>
    </row>
    <row r="24" spans="1:5" ht="43.5" customHeight="1" x14ac:dyDescent="0.25">
      <c r="A24" s="73" t="s">
        <v>469</v>
      </c>
      <c r="B24" s="73"/>
      <c r="C24" s="73"/>
    </row>
    <row r="25" spans="1:5" x14ac:dyDescent="0.25">
      <c r="A25" s="58"/>
    </row>
  </sheetData>
  <mergeCells count="6">
    <mergeCell ref="A24:C24"/>
    <mergeCell ref="C4:E4"/>
    <mergeCell ref="B17:B18"/>
    <mergeCell ref="C17:C18"/>
    <mergeCell ref="B19:B20"/>
    <mergeCell ref="C19:C20"/>
  </mergeCells>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7"/>
  <sheetViews>
    <sheetView zoomScale="80" zoomScaleNormal="80" workbookViewId="0">
      <selection sqref="A1:G1"/>
    </sheetView>
  </sheetViews>
  <sheetFormatPr defaultRowHeight="15" x14ac:dyDescent="0.25"/>
  <cols>
    <col min="2" max="2" width="12.85546875" customWidth="1"/>
    <col min="3" max="3" width="39.42578125" customWidth="1"/>
    <col min="4" max="4" width="5" customWidth="1"/>
    <col min="6" max="6" width="21.28515625" customWidth="1"/>
    <col min="7" max="7" width="33.42578125" customWidth="1"/>
  </cols>
  <sheetData>
    <row r="1" spans="1:7" x14ac:dyDescent="0.25">
      <c r="A1" s="78" t="s">
        <v>38</v>
      </c>
      <c r="B1" s="78"/>
      <c r="C1" s="78"/>
      <c r="D1" s="78"/>
      <c r="E1" s="78"/>
      <c r="F1" s="78"/>
      <c r="G1" s="78"/>
    </row>
    <row r="2" spans="1:7" x14ac:dyDescent="0.25">
      <c r="A2" t="s">
        <v>39</v>
      </c>
    </row>
    <row r="3" spans="1:7" x14ac:dyDescent="0.25">
      <c r="A3" t="s">
        <v>40</v>
      </c>
    </row>
    <row r="4" spans="1:7" x14ac:dyDescent="0.25">
      <c r="A4" t="s">
        <v>41</v>
      </c>
      <c r="C4" t="s">
        <v>42</v>
      </c>
    </row>
    <row r="5" spans="1:7" x14ac:dyDescent="0.25">
      <c r="A5" t="s">
        <v>43</v>
      </c>
      <c r="B5" s="1">
        <v>16804</v>
      </c>
      <c r="C5">
        <v>45383</v>
      </c>
      <c r="E5" t="s">
        <v>44</v>
      </c>
      <c r="F5" s="21">
        <f>(C6-C5)/C5</f>
        <v>0</v>
      </c>
    </row>
    <row r="6" spans="1:7" x14ac:dyDescent="0.25">
      <c r="B6" s="1">
        <v>16805</v>
      </c>
      <c r="C6">
        <v>45383</v>
      </c>
      <c r="F6" s="21">
        <f t="shared" ref="F6:F69" si="0">(C7-C6)/C6</f>
        <v>0</v>
      </c>
    </row>
    <row r="7" spans="1:7" x14ac:dyDescent="0.25">
      <c r="B7" s="1">
        <v>16806</v>
      </c>
      <c r="C7">
        <v>45383</v>
      </c>
      <c r="F7" s="21">
        <f t="shared" si="0"/>
        <v>6.5002313641671985E-2</v>
      </c>
    </row>
    <row r="8" spans="1:7" x14ac:dyDescent="0.25">
      <c r="B8" s="1">
        <v>16807</v>
      </c>
      <c r="C8">
        <v>48333</v>
      </c>
      <c r="F8" s="21">
        <f t="shared" si="0"/>
        <v>5.0710694556514183E-2</v>
      </c>
    </row>
    <row r="9" spans="1:7" x14ac:dyDescent="0.25">
      <c r="B9" s="1">
        <v>16809</v>
      </c>
      <c r="C9">
        <v>50784</v>
      </c>
      <c r="F9" s="21">
        <f t="shared" si="0"/>
        <v>-2.8749212350346566E-3</v>
      </c>
    </row>
    <row r="10" spans="1:7" x14ac:dyDescent="0.25">
      <c r="B10" s="1">
        <v>16810</v>
      </c>
      <c r="C10">
        <v>50638</v>
      </c>
      <c r="F10" s="21">
        <f t="shared" si="0"/>
        <v>1.9748015324459892E-3</v>
      </c>
    </row>
    <row r="11" spans="1:7" x14ac:dyDescent="0.25">
      <c r="B11" s="1">
        <v>16811</v>
      </c>
      <c r="C11">
        <v>50738</v>
      </c>
      <c r="F11" s="21">
        <f t="shared" si="0"/>
        <v>-2.9878986164216168E-2</v>
      </c>
    </row>
    <row r="12" spans="1:7" x14ac:dyDescent="0.25">
      <c r="B12" s="1">
        <v>16812</v>
      </c>
      <c r="C12">
        <v>49222</v>
      </c>
      <c r="F12" s="21">
        <f t="shared" si="0"/>
        <v>-1.3449270651334768E-2</v>
      </c>
    </row>
    <row r="13" spans="1:7" x14ac:dyDescent="0.25">
      <c r="B13" s="1">
        <v>16813</v>
      </c>
      <c r="C13">
        <v>48560</v>
      </c>
      <c r="F13" s="21">
        <f t="shared" si="0"/>
        <v>1.0275947281713344E-2</v>
      </c>
    </row>
    <row r="14" spans="1:7" x14ac:dyDescent="0.25">
      <c r="B14" s="1">
        <v>16814</v>
      </c>
      <c r="C14">
        <v>49059</v>
      </c>
      <c r="E14" t="s">
        <v>45</v>
      </c>
      <c r="F14" s="21">
        <f t="shared" si="0"/>
        <v>2.4969934160908293E-2</v>
      </c>
    </row>
    <row r="15" spans="1:7" x14ac:dyDescent="0.25">
      <c r="B15" s="1">
        <v>16816</v>
      </c>
      <c r="C15">
        <v>50284</v>
      </c>
      <c r="F15" s="21">
        <f t="shared" si="0"/>
        <v>1.7102855779174289E-3</v>
      </c>
    </row>
    <row r="16" spans="1:7" x14ac:dyDescent="0.25">
      <c r="B16" s="1">
        <v>16817</v>
      </c>
      <c r="C16">
        <v>50370</v>
      </c>
      <c r="F16" s="21">
        <f t="shared" si="0"/>
        <v>4.5145920190589633E-2</v>
      </c>
    </row>
    <row r="17" spans="1:6" x14ac:dyDescent="0.25">
      <c r="B17" s="1">
        <v>16818</v>
      </c>
      <c r="C17">
        <v>52644</v>
      </c>
      <c r="F17" s="21">
        <f t="shared" si="0"/>
        <v>7.7691664767114959E-3</v>
      </c>
    </row>
    <row r="18" spans="1:6" x14ac:dyDescent="0.25">
      <c r="B18" s="1">
        <v>16819</v>
      </c>
      <c r="C18">
        <v>53053</v>
      </c>
      <c r="E18" t="s">
        <v>46</v>
      </c>
      <c r="F18" s="21">
        <f t="shared" si="0"/>
        <v>1.1120954517180932E-2</v>
      </c>
    </row>
    <row r="19" spans="1:6" x14ac:dyDescent="0.25">
      <c r="B19" s="1">
        <v>16820</v>
      </c>
      <c r="C19">
        <v>53643</v>
      </c>
      <c r="F19" s="21">
        <f t="shared" si="0"/>
        <v>1.7262270939358351E-2</v>
      </c>
    </row>
    <row r="20" spans="1:6" x14ac:dyDescent="0.25">
      <c r="B20" s="1">
        <v>16821</v>
      </c>
      <c r="C20">
        <v>54569</v>
      </c>
      <c r="F20" s="21">
        <f t="shared" si="0"/>
        <v>2.627865637999597E-2</v>
      </c>
    </row>
    <row r="21" spans="1:6" x14ac:dyDescent="0.25">
      <c r="B21" s="1">
        <v>16823</v>
      </c>
      <c r="C21">
        <v>56003</v>
      </c>
      <c r="F21" s="21">
        <f t="shared" si="0"/>
        <v>2.1873828187775654E-2</v>
      </c>
    </row>
    <row r="22" spans="1:6" x14ac:dyDescent="0.25">
      <c r="B22" s="1">
        <v>16824</v>
      </c>
      <c r="C22">
        <v>57228</v>
      </c>
      <c r="F22" s="21">
        <f t="shared" si="0"/>
        <v>-7.164325155518278E-2</v>
      </c>
    </row>
    <row r="23" spans="1:6" x14ac:dyDescent="0.25">
      <c r="B23" s="1">
        <v>16825</v>
      </c>
      <c r="C23">
        <v>53128</v>
      </c>
      <c r="F23" s="21">
        <f t="shared" si="0"/>
        <v>1.5999096521608192E-2</v>
      </c>
    </row>
    <row r="24" spans="1:6" x14ac:dyDescent="0.25">
      <c r="B24" s="1">
        <v>16826</v>
      </c>
      <c r="C24">
        <v>53978</v>
      </c>
      <c r="F24" s="21">
        <f t="shared" si="0"/>
        <v>-3.7848753195746418E-2</v>
      </c>
    </row>
    <row r="25" spans="1:6" x14ac:dyDescent="0.25">
      <c r="B25" s="1">
        <v>16827</v>
      </c>
      <c r="C25">
        <v>51935</v>
      </c>
      <c r="F25" s="21">
        <f t="shared" si="0"/>
        <v>4.7751997689419465E-3</v>
      </c>
    </row>
    <row r="26" spans="1:6" x14ac:dyDescent="0.25">
      <c r="B26" s="1">
        <v>16828</v>
      </c>
      <c r="C26">
        <v>52183</v>
      </c>
      <c r="F26" s="21">
        <f t="shared" si="0"/>
        <v>3.2960925972059865E-2</v>
      </c>
    </row>
    <row r="27" spans="1:6" x14ac:dyDescent="0.25">
      <c r="B27" s="1">
        <v>16830</v>
      </c>
      <c r="C27">
        <v>53903</v>
      </c>
      <c r="F27" s="21">
        <f t="shared" si="0"/>
        <v>6.9012856427286048E-3</v>
      </c>
    </row>
    <row r="28" spans="1:6" x14ac:dyDescent="0.25">
      <c r="B28" s="1">
        <v>16831</v>
      </c>
      <c r="C28">
        <v>54275</v>
      </c>
      <c r="F28" s="21">
        <f t="shared" si="0"/>
        <v>3.0400736987563334E-2</v>
      </c>
    </row>
    <row r="29" spans="1:6" x14ac:dyDescent="0.25">
      <c r="B29" s="1">
        <v>16832</v>
      </c>
      <c r="C29">
        <v>55925</v>
      </c>
      <c r="F29" s="21">
        <f t="shared" si="0"/>
        <v>8.1001341081805983E-3</v>
      </c>
    </row>
    <row r="30" spans="1:6" x14ac:dyDescent="0.25">
      <c r="B30" s="1">
        <v>16833</v>
      </c>
      <c r="C30">
        <v>56378</v>
      </c>
      <c r="F30" s="21">
        <f t="shared" si="0"/>
        <v>0.22363333215083897</v>
      </c>
    </row>
    <row r="31" spans="1:6" x14ac:dyDescent="0.25">
      <c r="A31" t="s">
        <v>47</v>
      </c>
      <c r="B31" s="1">
        <v>16837</v>
      </c>
      <c r="C31">
        <v>68986</v>
      </c>
      <c r="F31" s="21">
        <f t="shared" si="0"/>
        <v>8.8670164961006576E-2</v>
      </c>
    </row>
    <row r="32" spans="1:6" x14ac:dyDescent="0.25">
      <c r="B32" s="1">
        <v>16838</v>
      </c>
      <c r="C32">
        <v>75103</v>
      </c>
      <c r="F32" s="21">
        <f t="shared" si="0"/>
        <v>6.4098637870657629E-2</v>
      </c>
    </row>
    <row r="33" spans="2:6" x14ac:dyDescent="0.25">
      <c r="B33" s="1">
        <v>16839</v>
      </c>
      <c r="C33">
        <v>79917</v>
      </c>
      <c r="F33" s="21">
        <f t="shared" si="0"/>
        <v>3.6650524919604091E-2</v>
      </c>
    </row>
    <row r="34" spans="2:6" x14ac:dyDescent="0.25">
      <c r="B34" s="1">
        <v>16840</v>
      </c>
      <c r="C34">
        <v>82846</v>
      </c>
      <c r="F34" s="21">
        <f t="shared" si="0"/>
        <v>3.8481037104989985E-2</v>
      </c>
    </row>
    <row r="35" spans="2:6" x14ac:dyDescent="0.25">
      <c r="B35" s="1">
        <v>16841</v>
      </c>
      <c r="C35">
        <v>86034</v>
      </c>
      <c r="F35" s="21">
        <f t="shared" si="0"/>
        <v>2.9058279284933865E-4</v>
      </c>
    </row>
    <row r="36" spans="2:6" x14ac:dyDescent="0.25">
      <c r="B36" s="1">
        <v>16842</v>
      </c>
      <c r="C36">
        <v>86059</v>
      </c>
      <c r="F36" s="21">
        <f t="shared" si="0"/>
        <v>2.0764824132281343E-2</v>
      </c>
    </row>
    <row r="37" spans="2:6" x14ac:dyDescent="0.25">
      <c r="B37" s="1">
        <v>16844</v>
      </c>
      <c r="C37">
        <v>87846</v>
      </c>
      <c r="F37" s="21">
        <f t="shared" si="0"/>
        <v>9.4597363568062285E-3</v>
      </c>
    </row>
    <row r="38" spans="2:6" x14ac:dyDescent="0.25">
      <c r="B38" s="1">
        <v>16845</v>
      </c>
      <c r="C38">
        <v>88677</v>
      </c>
      <c r="F38" s="21">
        <f t="shared" si="0"/>
        <v>3.9626960767730077E-2</v>
      </c>
    </row>
    <row r="39" spans="2:6" x14ac:dyDescent="0.25">
      <c r="B39" s="1">
        <v>16846</v>
      </c>
      <c r="C39">
        <v>92191</v>
      </c>
      <c r="F39" s="21">
        <f t="shared" si="0"/>
        <v>8.9292881083836817E-2</v>
      </c>
    </row>
    <row r="40" spans="2:6" x14ac:dyDescent="0.25">
      <c r="B40" s="1">
        <v>16847</v>
      </c>
      <c r="C40">
        <v>100423</v>
      </c>
      <c r="F40" s="21">
        <f t="shared" si="0"/>
        <v>8.8923852105593348E-3</v>
      </c>
    </row>
    <row r="41" spans="2:6" x14ac:dyDescent="0.25">
      <c r="B41" s="1">
        <v>16848</v>
      </c>
      <c r="C41">
        <v>101316</v>
      </c>
      <c r="F41" s="21">
        <f t="shared" si="0"/>
        <v>9.2394093726558491E-2</v>
      </c>
    </row>
    <row r="42" spans="2:6" x14ac:dyDescent="0.25">
      <c r="B42" s="1">
        <v>16849</v>
      </c>
      <c r="C42">
        <v>110677</v>
      </c>
      <c r="F42" s="21">
        <f t="shared" si="0"/>
        <v>0.20941116943899818</v>
      </c>
    </row>
    <row r="43" spans="2:6" x14ac:dyDescent="0.25">
      <c r="B43" s="1">
        <v>16851</v>
      </c>
      <c r="C43">
        <v>133854</v>
      </c>
      <c r="F43" s="21">
        <f t="shared" si="0"/>
        <v>0.10135670207838392</v>
      </c>
    </row>
    <row r="44" spans="2:6" x14ac:dyDescent="0.25">
      <c r="B44" s="1">
        <v>16852</v>
      </c>
      <c r="C44">
        <v>147421</v>
      </c>
      <c r="F44" s="21">
        <f t="shared" si="0"/>
        <v>9.5312065445221514E-2</v>
      </c>
    </row>
    <row r="45" spans="2:6" x14ac:dyDescent="0.25">
      <c r="B45" s="1">
        <v>16853</v>
      </c>
      <c r="C45">
        <v>161472</v>
      </c>
      <c r="F45" s="21">
        <f t="shared" si="0"/>
        <v>0.21299048751486327</v>
      </c>
    </row>
    <row r="46" spans="2:6" x14ac:dyDescent="0.25">
      <c r="B46" s="1">
        <v>16854</v>
      </c>
      <c r="C46">
        <v>195864</v>
      </c>
      <c r="F46" s="21">
        <f t="shared" si="0"/>
        <v>6.6638075399256633E-2</v>
      </c>
    </row>
    <row r="47" spans="2:6" x14ac:dyDescent="0.25">
      <c r="B47" s="1">
        <v>16855</v>
      </c>
      <c r="C47">
        <v>208916</v>
      </c>
      <c r="F47" s="21">
        <f t="shared" si="0"/>
        <v>0.15909743629018361</v>
      </c>
    </row>
    <row r="48" spans="2:6" x14ac:dyDescent="0.25">
      <c r="B48" s="1">
        <v>16856</v>
      </c>
      <c r="C48">
        <v>242154</v>
      </c>
      <c r="F48" s="21">
        <f t="shared" si="0"/>
        <v>0.26300618614600624</v>
      </c>
    </row>
    <row r="49" spans="1:6" x14ac:dyDescent="0.25">
      <c r="B49" s="1">
        <v>16858</v>
      </c>
      <c r="C49">
        <v>305842</v>
      </c>
      <c r="F49" s="21">
        <f t="shared" si="0"/>
        <v>7.3011554985907751E-2</v>
      </c>
    </row>
    <row r="50" spans="1:6" x14ac:dyDescent="0.25">
      <c r="B50" s="1">
        <v>16859</v>
      </c>
      <c r="C50">
        <v>328172</v>
      </c>
      <c r="F50" s="21">
        <f t="shared" si="0"/>
        <v>8.8505417890618332E-2</v>
      </c>
    </row>
    <row r="51" spans="1:6" x14ac:dyDescent="0.25">
      <c r="B51" s="1">
        <v>16860</v>
      </c>
      <c r="C51">
        <v>357217</v>
      </c>
      <c r="F51" s="21">
        <f t="shared" si="0"/>
        <v>-6.4269057743612426E-2</v>
      </c>
    </row>
    <row r="52" spans="1:6" x14ac:dyDescent="0.25">
      <c r="B52" s="1">
        <v>16861</v>
      </c>
      <c r="C52">
        <v>334259</v>
      </c>
      <c r="F52" s="21">
        <f t="shared" si="0"/>
        <v>1.8602341298214857E-2</v>
      </c>
    </row>
    <row r="53" spans="1:6" x14ac:dyDescent="0.25">
      <c r="A53" t="s">
        <v>48</v>
      </c>
      <c r="B53" s="1">
        <v>16862</v>
      </c>
      <c r="C53">
        <v>340477</v>
      </c>
      <c r="F53" s="21">
        <f t="shared" si="0"/>
        <v>0.11387553344278761</v>
      </c>
    </row>
    <row r="54" spans="1:6" x14ac:dyDescent="0.25">
      <c r="B54" s="1">
        <v>16863</v>
      </c>
      <c r="C54">
        <v>379249</v>
      </c>
      <c r="F54" s="21">
        <f t="shared" si="0"/>
        <v>0.10991986794955293</v>
      </c>
    </row>
    <row r="55" spans="1:6" x14ac:dyDescent="0.25">
      <c r="B55" s="1">
        <v>16865</v>
      </c>
      <c r="C55">
        <v>420936</v>
      </c>
      <c r="F55" s="21">
        <f t="shared" si="0"/>
        <v>3.0004561263469981E-2</v>
      </c>
    </row>
    <row r="56" spans="1:6" x14ac:dyDescent="0.25">
      <c r="B56" s="1">
        <v>16866</v>
      </c>
      <c r="C56">
        <v>433566</v>
      </c>
      <c r="F56" s="21">
        <f t="shared" si="0"/>
        <v>0.24893095860837797</v>
      </c>
    </row>
    <row r="57" spans="1:6" x14ac:dyDescent="0.25">
      <c r="B57" s="1">
        <v>16867</v>
      </c>
      <c r="C57">
        <v>541494</v>
      </c>
      <c r="F57" s="21">
        <f t="shared" si="0"/>
        <v>-8.3193904272254177E-2</v>
      </c>
    </row>
    <row r="58" spans="1:6" x14ac:dyDescent="0.25">
      <c r="B58" s="1">
        <v>16868</v>
      </c>
      <c r="C58">
        <v>496445</v>
      </c>
      <c r="F58" s="21">
        <f t="shared" si="0"/>
        <v>2.0842187956369791E-2</v>
      </c>
    </row>
    <row r="59" spans="1:6" x14ac:dyDescent="0.25">
      <c r="B59" s="1">
        <v>16869</v>
      </c>
      <c r="C59">
        <v>506792</v>
      </c>
      <c r="F59" s="21">
        <f t="shared" si="0"/>
        <v>3.2437370755655177E-2</v>
      </c>
    </row>
    <row r="60" spans="1:6" x14ac:dyDescent="0.25">
      <c r="B60" s="1">
        <v>16870</v>
      </c>
      <c r="C60">
        <v>523231</v>
      </c>
      <c r="F60" s="21">
        <f t="shared" si="0"/>
        <v>3.1538651188480808E-2</v>
      </c>
    </row>
    <row r="61" spans="1:6" x14ac:dyDescent="0.25">
      <c r="B61" s="1">
        <v>16872</v>
      </c>
      <c r="C61">
        <v>539733</v>
      </c>
      <c r="F61" s="21">
        <f t="shared" si="0"/>
        <v>-5.2989163160303337E-3</v>
      </c>
    </row>
    <row r="62" spans="1:6" x14ac:dyDescent="0.25">
      <c r="B62" s="1">
        <v>16873</v>
      </c>
      <c r="C62">
        <v>536873</v>
      </c>
      <c r="F62" s="21">
        <f t="shared" si="0"/>
        <v>4.411657878120151E-2</v>
      </c>
    </row>
    <row r="63" spans="1:6" x14ac:dyDescent="0.25">
      <c r="B63" s="1">
        <v>16874</v>
      </c>
      <c r="C63">
        <v>560558</v>
      </c>
      <c r="F63" s="21">
        <f t="shared" si="0"/>
        <v>2.7506520288712318E-2</v>
      </c>
    </row>
    <row r="64" spans="1:6" x14ac:dyDescent="0.25">
      <c r="B64" s="1">
        <v>16875</v>
      </c>
      <c r="C64">
        <v>575977</v>
      </c>
      <c r="F64" s="21">
        <f t="shared" si="0"/>
        <v>1.6651706578561298E-2</v>
      </c>
    </row>
    <row r="65" spans="1:6" x14ac:dyDescent="0.25">
      <c r="B65" s="1">
        <v>16877</v>
      </c>
      <c r="C65">
        <v>585568</v>
      </c>
      <c r="F65" s="21">
        <f t="shared" si="0"/>
        <v>0.11532563254822668</v>
      </c>
    </row>
    <row r="66" spans="1:6" x14ac:dyDescent="0.25">
      <c r="B66" s="1">
        <v>16879</v>
      </c>
      <c r="C66">
        <v>653099</v>
      </c>
      <c r="F66" s="21">
        <f t="shared" si="0"/>
        <v>9.7781500201347724E-2</v>
      </c>
    </row>
    <row r="67" spans="1:6" x14ac:dyDescent="0.25">
      <c r="B67" s="1">
        <v>16880</v>
      </c>
      <c r="C67">
        <v>716960</v>
      </c>
      <c r="F67" s="21">
        <f t="shared" si="0"/>
        <v>4.1705255523320689E-2</v>
      </c>
    </row>
    <row r="68" spans="1:6" x14ac:dyDescent="0.25">
      <c r="B68" s="1">
        <v>16881</v>
      </c>
      <c r="C68">
        <v>746861</v>
      </c>
      <c r="F68" s="21">
        <f t="shared" si="0"/>
        <v>3.0273370814649581E-2</v>
      </c>
    </row>
    <row r="69" spans="1:6" x14ac:dyDescent="0.25">
      <c r="B69" s="1">
        <v>16882</v>
      </c>
      <c r="C69">
        <v>769471</v>
      </c>
      <c r="F69" s="21">
        <f t="shared" si="0"/>
        <v>4.990701403951546E-2</v>
      </c>
    </row>
    <row r="70" spans="1:6" x14ac:dyDescent="0.25">
      <c r="B70" s="1">
        <v>16883</v>
      </c>
      <c r="C70">
        <v>807873</v>
      </c>
      <c r="F70" s="21">
        <f t="shared" ref="F70:F133" si="1">(C71-C70)/C70</f>
        <v>5.2400562959772141E-2</v>
      </c>
    </row>
    <row r="71" spans="1:6" x14ac:dyDescent="0.25">
      <c r="B71" s="1">
        <v>16884</v>
      </c>
      <c r="C71">
        <v>850206</v>
      </c>
      <c r="F71" s="21">
        <f t="shared" si="1"/>
        <v>0.12548370630176686</v>
      </c>
    </row>
    <row r="72" spans="1:6" x14ac:dyDescent="0.25">
      <c r="B72" s="1">
        <v>16887</v>
      </c>
      <c r="C72">
        <v>956893</v>
      </c>
      <c r="F72" s="21">
        <f t="shared" si="1"/>
        <v>-1.1150672018710556E-2</v>
      </c>
    </row>
    <row r="73" spans="1:6" x14ac:dyDescent="0.25">
      <c r="B73" s="1">
        <v>16888</v>
      </c>
      <c r="C73">
        <v>946223</v>
      </c>
      <c r="F73" s="21">
        <f t="shared" si="1"/>
        <v>0.11376070968471491</v>
      </c>
    </row>
    <row r="74" spans="1:6" x14ac:dyDescent="0.25">
      <c r="B74" s="1">
        <v>16889</v>
      </c>
      <c r="C74">
        <v>1053866</v>
      </c>
      <c r="F74" s="21">
        <f t="shared" si="1"/>
        <v>9.755414825034682E-2</v>
      </c>
    </row>
    <row r="75" spans="1:6" x14ac:dyDescent="0.25">
      <c r="B75" s="1">
        <v>16890</v>
      </c>
      <c r="C75">
        <v>1156675</v>
      </c>
      <c r="F75" s="21">
        <f t="shared" si="1"/>
        <v>5.6592387662913093E-2</v>
      </c>
    </row>
    <row r="76" spans="1:6" x14ac:dyDescent="0.25">
      <c r="B76" s="1">
        <v>16891</v>
      </c>
      <c r="C76">
        <v>1222134</v>
      </c>
      <c r="F76" s="21">
        <f t="shared" si="1"/>
        <v>0.3704217377145223</v>
      </c>
    </row>
    <row r="77" spans="1:6" x14ac:dyDescent="0.25">
      <c r="A77" t="s">
        <v>49</v>
      </c>
      <c r="B77" s="1">
        <v>16893</v>
      </c>
      <c r="C77">
        <v>1674839</v>
      </c>
      <c r="F77" s="21">
        <f t="shared" si="1"/>
        <v>9.1924059566322491E-2</v>
      </c>
    </row>
    <row r="78" spans="1:6" x14ac:dyDescent="0.25">
      <c r="B78" s="1">
        <v>16894</v>
      </c>
      <c r="C78">
        <v>1828797</v>
      </c>
      <c r="F78" s="21">
        <f t="shared" si="1"/>
        <v>8.0080511943097024E-2</v>
      </c>
    </row>
    <row r="79" spans="1:6" x14ac:dyDescent="0.25">
      <c r="B79" s="1">
        <v>16895</v>
      </c>
      <c r="C79">
        <v>1975248</v>
      </c>
      <c r="F79" s="21">
        <f t="shared" si="1"/>
        <v>0.14177966513571966</v>
      </c>
    </row>
    <row r="80" spans="1:6" x14ac:dyDescent="0.25">
      <c r="B80" s="1">
        <v>16897</v>
      </c>
      <c r="C80">
        <v>2255298</v>
      </c>
      <c r="F80" s="21">
        <f t="shared" si="1"/>
        <v>6.9986760064523618E-2</v>
      </c>
    </row>
    <row r="81" spans="2:6" x14ac:dyDescent="0.25">
      <c r="B81" s="1">
        <v>16898</v>
      </c>
      <c r="C81">
        <v>2413139</v>
      </c>
      <c r="F81" s="21">
        <f t="shared" si="1"/>
        <v>0.21210381996229807</v>
      </c>
    </row>
    <row r="82" spans="2:6" x14ac:dyDescent="0.25">
      <c r="B82" s="1">
        <v>16900</v>
      </c>
      <c r="C82">
        <v>2924975</v>
      </c>
      <c r="F82" s="21">
        <f t="shared" si="1"/>
        <v>9.643569603159001E-2</v>
      </c>
    </row>
    <row r="83" spans="2:6" x14ac:dyDescent="0.25">
      <c r="B83" s="1">
        <v>16901</v>
      </c>
      <c r="C83">
        <v>3207047</v>
      </c>
      <c r="F83" s="21">
        <f t="shared" si="1"/>
        <v>2.9517808750542166E-2</v>
      </c>
    </row>
    <row r="84" spans="2:6" x14ac:dyDescent="0.25">
      <c r="B84" s="1">
        <v>16902</v>
      </c>
      <c r="C84">
        <v>3301712</v>
      </c>
      <c r="F84" s="21">
        <f t="shared" si="1"/>
        <v>2.1341655480550697E-2</v>
      </c>
    </row>
    <row r="85" spans="2:6" x14ac:dyDescent="0.25">
      <c r="B85" s="1">
        <v>16903</v>
      </c>
      <c r="C85">
        <v>3372176</v>
      </c>
      <c r="F85" s="21">
        <f t="shared" si="1"/>
        <v>0.1165965240248433</v>
      </c>
    </row>
    <row r="86" spans="2:6" x14ac:dyDescent="0.25">
      <c r="B86" s="1">
        <v>16904</v>
      </c>
      <c r="C86">
        <v>3765360</v>
      </c>
      <c r="F86" s="21">
        <f t="shared" si="1"/>
        <v>0.13918164531412666</v>
      </c>
    </row>
    <row r="87" spans="2:6" x14ac:dyDescent="0.25">
      <c r="B87" s="1">
        <v>16905</v>
      </c>
      <c r="C87">
        <v>4289429</v>
      </c>
      <c r="F87" s="21">
        <f t="shared" si="1"/>
        <v>0.19094499524295658</v>
      </c>
    </row>
    <row r="88" spans="2:6" x14ac:dyDescent="0.25">
      <c r="B88" s="1">
        <v>16907</v>
      </c>
      <c r="C88">
        <v>5108474</v>
      </c>
      <c r="F88" s="21">
        <f t="shared" si="1"/>
        <v>0.20365122735282593</v>
      </c>
    </row>
    <row r="89" spans="2:6" x14ac:dyDescent="0.25">
      <c r="B89" s="1">
        <v>16908</v>
      </c>
      <c r="C89">
        <v>6148821</v>
      </c>
      <c r="F89" s="21">
        <f t="shared" si="1"/>
        <v>6.061405918305314E-2</v>
      </c>
    </row>
    <row r="90" spans="2:6" x14ac:dyDescent="0.25">
      <c r="B90" s="1">
        <v>16909</v>
      </c>
      <c r="C90">
        <v>6521526</v>
      </c>
      <c r="F90" s="21">
        <f t="shared" si="1"/>
        <v>0.11508932111901417</v>
      </c>
    </row>
    <row r="91" spans="2:6" x14ac:dyDescent="0.25">
      <c r="B91" s="1">
        <v>16910</v>
      </c>
      <c r="C91">
        <v>7272084</v>
      </c>
      <c r="F91" s="21">
        <f t="shared" si="1"/>
        <v>9.0099481799165132E-2</v>
      </c>
    </row>
    <row r="92" spans="2:6" x14ac:dyDescent="0.25">
      <c r="B92" s="1">
        <v>16911</v>
      </c>
      <c r="C92">
        <v>7927295</v>
      </c>
      <c r="F92" s="21">
        <f t="shared" si="1"/>
        <v>0.29616243624086147</v>
      </c>
    </row>
    <row r="93" spans="2:6" x14ac:dyDescent="0.25">
      <c r="B93" s="1">
        <v>16912</v>
      </c>
      <c r="C93">
        <v>10275062</v>
      </c>
      <c r="F93" s="21">
        <f t="shared" si="1"/>
        <v>0.19687988257394456</v>
      </c>
    </row>
    <row r="94" spans="2:6" x14ac:dyDescent="0.25">
      <c r="B94" s="1">
        <v>16915</v>
      </c>
      <c r="C94">
        <v>12298015</v>
      </c>
      <c r="F94" s="21">
        <f t="shared" si="1"/>
        <v>0.16115495061601404</v>
      </c>
    </row>
    <row r="95" spans="2:6" x14ac:dyDescent="0.25">
      <c r="B95" s="1">
        <v>16916</v>
      </c>
      <c r="C95">
        <v>14279901</v>
      </c>
      <c r="F95" s="21">
        <f t="shared" si="1"/>
        <v>7.0028496696160569E-2</v>
      </c>
    </row>
    <row r="96" spans="2:6" x14ac:dyDescent="0.25">
      <c r="B96" s="1">
        <v>16917</v>
      </c>
      <c r="C96">
        <v>15279901</v>
      </c>
      <c r="F96" s="21">
        <f t="shared" si="1"/>
        <v>0.29414725920017415</v>
      </c>
    </row>
    <row r="97" spans="1:6" x14ac:dyDescent="0.25">
      <c r="B97" s="1">
        <v>16918</v>
      </c>
      <c r="C97">
        <v>19774442</v>
      </c>
      <c r="F97" s="21">
        <f t="shared" si="1"/>
        <v>0.16996899330964688</v>
      </c>
    </row>
    <row r="98" spans="1:6" x14ac:dyDescent="0.25">
      <c r="B98" s="1">
        <v>16919</v>
      </c>
      <c r="C98">
        <v>23135484</v>
      </c>
      <c r="F98" s="21">
        <f t="shared" si="1"/>
        <v>0.16402462122685654</v>
      </c>
    </row>
    <row r="99" spans="1:6" x14ac:dyDescent="0.25">
      <c r="B99" s="1">
        <v>16921</v>
      </c>
      <c r="C99">
        <v>26930273</v>
      </c>
      <c r="F99" s="21">
        <f t="shared" si="1"/>
        <v>6.4314609807334666E-2</v>
      </c>
    </row>
    <row r="100" spans="1:6" x14ac:dyDescent="0.25">
      <c r="B100" s="1">
        <v>16922</v>
      </c>
      <c r="C100">
        <v>28662283</v>
      </c>
      <c r="F100" s="21">
        <f t="shared" si="1"/>
        <v>0.2915790064594645</v>
      </c>
    </row>
    <row r="101" spans="1:6" x14ac:dyDescent="0.25">
      <c r="A101" t="s">
        <v>50</v>
      </c>
      <c r="B101" s="1">
        <v>16924</v>
      </c>
      <c r="C101">
        <v>37019603</v>
      </c>
      <c r="F101" s="21">
        <f t="shared" si="1"/>
        <v>0.19103286980144008</v>
      </c>
    </row>
    <row r="102" spans="1:6" x14ac:dyDescent="0.25">
      <c r="B102" s="1">
        <v>16925</v>
      </c>
      <c r="C102">
        <v>44091564</v>
      </c>
      <c r="F102" s="21">
        <f t="shared" si="1"/>
        <v>0.21652999199574777</v>
      </c>
    </row>
    <row r="103" spans="1:6" x14ac:dyDescent="0.25">
      <c r="B103" s="1">
        <v>16926</v>
      </c>
      <c r="C103">
        <v>53638710</v>
      </c>
      <c r="F103" s="21">
        <f t="shared" si="1"/>
        <v>0.290658947614512</v>
      </c>
    </row>
    <row r="104" spans="1:6" x14ac:dyDescent="0.25">
      <c r="B104" s="1">
        <v>16928</v>
      </c>
      <c r="C104">
        <v>69229281</v>
      </c>
      <c r="F104" s="21">
        <f t="shared" si="1"/>
        <v>0.10084805011913962</v>
      </c>
    </row>
    <row r="105" spans="1:6" x14ac:dyDescent="0.25">
      <c r="B105" s="1">
        <v>16929</v>
      </c>
      <c r="C105">
        <v>76210919</v>
      </c>
      <c r="F105" s="21">
        <f t="shared" si="1"/>
        <v>7.6120850871776002E-2</v>
      </c>
    </row>
    <row r="106" spans="1:6" x14ac:dyDescent="0.25">
      <c r="B106" s="1">
        <v>16930</v>
      </c>
      <c r="C106">
        <v>82012159</v>
      </c>
      <c r="F106" s="21">
        <f t="shared" si="1"/>
        <v>0.11409674021628914</v>
      </c>
    </row>
    <row r="107" spans="1:6" x14ac:dyDescent="0.25">
      <c r="B107" s="1">
        <v>16931</v>
      </c>
      <c r="C107">
        <v>91369479</v>
      </c>
      <c r="F107" s="21">
        <f t="shared" si="1"/>
        <v>0.1772994787460701</v>
      </c>
    </row>
    <row r="108" spans="1:6" x14ac:dyDescent="0.25">
      <c r="B108" s="1">
        <v>16932</v>
      </c>
      <c r="C108">
        <v>107569240</v>
      </c>
      <c r="F108" s="21">
        <f t="shared" si="1"/>
        <v>0.26763301479121726</v>
      </c>
    </row>
    <row r="109" spans="1:6" x14ac:dyDescent="0.25">
      <c r="B109" s="1">
        <v>16933</v>
      </c>
      <c r="C109">
        <v>136358320</v>
      </c>
      <c r="F109" s="21">
        <f t="shared" si="1"/>
        <v>0.42839072819318985</v>
      </c>
    </row>
    <row r="110" spans="1:6" x14ac:dyDescent="0.25">
      <c r="B110" s="1">
        <v>16935</v>
      </c>
      <c r="C110">
        <v>194772960</v>
      </c>
      <c r="F110" s="21">
        <f t="shared" si="1"/>
        <v>0.14667456920098149</v>
      </c>
    </row>
    <row r="111" spans="1:6" x14ac:dyDescent="0.25">
      <c r="B111" s="1">
        <v>16936</v>
      </c>
      <c r="C111">
        <v>223341200</v>
      </c>
      <c r="F111" s="21">
        <f t="shared" si="1"/>
        <v>0.15924401767340732</v>
      </c>
    </row>
    <row r="112" spans="1:6" x14ac:dyDescent="0.25">
      <c r="B112" s="1">
        <v>16937</v>
      </c>
      <c r="C112">
        <v>258906950</v>
      </c>
      <c r="F112" s="21">
        <f t="shared" si="1"/>
        <v>0.44187485117722797</v>
      </c>
    </row>
    <row r="113" spans="1:6" x14ac:dyDescent="0.25">
      <c r="B113" s="1">
        <v>16938</v>
      </c>
      <c r="C113">
        <v>373311420</v>
      </c>
      <c r="F113" s="21">
        <f t="shared" si="1"/>
        <v>0.39850575693612589</v>
      </c>
    </row>
    <row r="114" spans="1:6" x14ac:dyDescent="0.25">
      <c r="B114" s="1">
        <v>16939</v>
      </c>
      <c r="C114">
        <v>522078170</v>
      </c>
      <c r="F114" s="21">
        <f t="shared" si="1"/>
        <v>0.33330956933135131</v>
      </c>
    </row>
    <row r="115" spans="1:6" x14ac:dyDescent="0.25">
      <c r="B115" s="1">
        <v>16940</v>
      </c>
      <c r="C115">
        <v>696091820</v>
      </c>
      <c r="F115" s="21">
        <f t="shared" si="1"/>
        <v>0.39069600042132374</v>
      </c>
    </row>
    <row r="116" spans="1:6" x14ac:dyDescent="0.25">
      <c r="B116" s="1">
        <v>16942</v>
      </c>
      <c r="C116">
        <v>968052110</v>
      </c>
      <c r="F116" s="21">
        <f t="shared" si="1"/>
        <v>9.4879902694494408E-2</v>
      </c>
    </row>
    <row r="117" spans="1:6" x14ac:dyDescent="0.25">
      <c r="B117" s="1">
        <v>16943</v>
      </c>
      <c r="C117">
        <f>1059900.8*10^3</f>
        <v>1059900800</v>
      </c>
      <c r="F117" s="21">
        <f t="shared" si="1"/>
        <v>0.19086239014066222</v>
      </c>
    </row>
    <row r="118" spans="1:6" x14ac:dyDescent="0.25">
      <c r="B118" s="1">
        <v>16944</v>
      </c>
      <c r="C118">
        <f>1262196*10^3</f>
        <v>1262196000</v>
      </c>
      <c r="F118" s="21">
        <f t="shared" si="1"/>
        <v>0.32974561795473922</v>
      </c>
    </row>
    <row r="119" spans="1:6" x14ac:dyDescent="0.25">
      <c r="B119" s="1">
        <v>16945</v>
      </c>
      <c r="C119">
        <f>1678399.6*10^3</f>
        <v>1678399600</v>
      </c>
      <c r="F119" s="21">
        <f t="shared" si="1"/>
        <v>0.50742534733683209</v>
      </c>
    </row>
    <row r="120" spans="1:6" x14ac:dyDescent="0.25">
      <c r="B120" s="1">
        <v>16946</v>
      </c>
      <c r="C120">
        <f>2530062.1*10^3</f>
        <v>2530062100</v>
      </c>
      <c r="F120" s="21">
        <f t="shared" si="1"/>
        <v>0.37288582758502253</v>
      </c>
    </row>
    <row r="121" spans="1:6" x14ac:dyDescent="0.25">
      <c r="B121" s="1">
        <v>16947</v>
      </c>
      <c r="C121">
        <v>3473486400</v>
      </c>
      <c r="F121" s="21">
        <f t="shared" si="1"/>
        <v>0.20997416313476858</v>
      </c>
    </row>
    <row r="122" spans="1:6" x14ac:dyDescent="0.25">
      <c r="B122" s="1">
        <v>16949</v>
      </c>
      <c r="C122">
        <v>4202828800</v>
      </c>
      <c r="F122" s="21">
        <f t="shared" si="1"/>
        <v>0.12847308936304996</v>
      </c>
    </row>
    <row r="123" spans="1:6" x14ac:dyDescent="0.25">
      <c r="B123" s="1">
        <v>16950</v>
      </c>
      <c r="C123">
        <v>4742779200</v>
      </c>
      <c r="F123" s="21">
        <f t="shared" si="1"/>
        <v>0.21851171144547485</v>
      </c>
    </row>
    <row r="124" spans="1:6" x14ac:dyDescent="0.25">
      <c r="B124" s="1">
        <v>16951</v>
      </c>
      <c r="C124">
        <v>5779132000</v>
      </c>
      <c r="F124" s="21">
        <f t="shared" si="1"/>
        <v>0.9696951030016272</v>
      </c>
    </row>
    <row r="125" spans="1:6" x14ac:dyDescent="0.25">
      <c r="B125" s="1">
        <v>16953</v>
      </c>
      <c r="C125">
        <v>11383128000</v>
      </c>
      <c r="F125" s="21">
        <f t="shared" si="1"/>
        <v>0.31687880519308931</v>
      </c>
    </row>
    <row r="126" spans="1:6" x14ac:dyDescent="0.25">
      <c r="A126" t="s">
        <v>51</v>
      </c>
      <c r="B126" s="1">
        <v>16954</v>
      </c>
      <c r="C126">
        <f>14990.2*10^6</f>
        <v>14990200000</v>
      </c>
      <c r="F126" s="21">
        <f t="shared" si="1"/>
        <v>0</v>
      </c>
    </row>
    <row r="127" spans="1:6" x14ac:dyDescent="0.25">
      <c r="B127" s="1">
        <v>16956</v>
      </c>
      <c r="C127">
        <v>14990200000</v>
      </c>
      <c r="F127" s="21">
        <f t="shared" si="1"/>
        <v>0.20016410721671493</v>
      </c>
    </row>
    <row r="128" spans="1:6" x14ac:dyDescent="0.25">
      <c r="B128" s="1">
        <v>16957</v>
      </c>
      <c r="C128">
        <v>17990700000</v>
      </c>
      <c r="F128" s="21">
        <f t="shared" si="1"/>
        <v>0.15605284952781159</v>
      </c>
    </row>
    <row r="129" spans="2:6" x14ac:dyDescent="0.25">
      <c r="B129" s="1">
        <v>16958</v>
      </c>
      <c r="C129">
        <v>20798200000</v>
      </c>
      <c r="F129" s="21">
        <f t="shared" si="1"/>
        <v>1.4977738458135801</v>
      </c>
    </row>
    <row r="130" spans="2:6" x14ac:dyDescent="0.25">
      <c r="B130" s="1">
        <v>16959</v>
      </c>
      <c r="C130">
        <v>51949200000</v>
      </c>
      <c r="F130" s="21">
        <f t="shared" si="1"/>
        <v>0.50180176018110001</v>
      </c>
    </row>
    <row r="131" spans="2:6" x14ac:dyDescent="0.25">
      <c r="B131" s="1">
        <v>16960</v>
      </c>
      <c r="C131">
        <v>78017400000</v>
      </c>
      <c r="F131" s="21">
        <f t="shared" si="1"/>
        <v>0.65676246580890929</v>
      </c>
    </row>
    <row r="132" spans="2:6" x14ac:dyDescent="0.25">
      <c r="B132" s="1">
        <v>16961</v>
      </c>
      <c r="C132" s="2">
        <v>129256300000</v>
      </c>
      <c r="F132" s="21">
        <f t="shared" si="1"/>
        <v>0.30648796228887876</v>
      </c>
    </row>
    <row r="133" spans="2:6" x14ac:dyDescent="0.25">
      <c r="B133" s="1">
        <v>16964</v>
      </c>
      <c r="C133" s="2">
        <v>168871800000</v>
      </c>
      <c r="F133" s="21">
        <f t="shared" si="1"/>
        <v>0.10134788638481973</v>
      </c>
    </row>
    <row r="134" spans="2:6" x14ac:dyDescent="0.25">
      <c r="B134" s="1">
        <v>16965</v>
      </c>
      <c r="C134" s="2">
        <v>185986600000</v>
      </c>
      <c r="F134" s="21">
        <f t="shared" ref="F134:F166" si="2">(C135-C134)/C134</f>
        <v>0.54155568196848591</v>
      </c>
    </row>
    <row r="135" spans="2:6" x14ac:dyDescent="0.25">
      <c r="B135" s="1">
        <v>16966</v>
      </c>
      <c r="C135" s="2">
        <v>286708700000</v>
      </c>
      <c r="F135" s="21">
        <f t="shared" si="2"/>
        <v>0.61321299283907327</v>
      </c>
    </row>
    <row r="136" spans="2:6" x14ac:dyDescent="0.25">
      <c r="B136" s="1">
        <v>16967</v>
      </c>
      <c r="C136" s="2">
        <v>462522200000</v>
      </c>
      <c r="F136" s="21">
        <f t="shared" si="2"/>
        <v>0.85713269546845539</v>
      </c>
    </row>
    <row r="137" spans="2:6" x14ac:dyDescent="0.25">
      <c r="B137" s="1">
        <v>16968</v>
      </c>
      <c r="C137" s="2">
        <v>858965100000</v>
      </c>
      <c r="F137" s="21">
        <f t="shared" si="2"/>
        <v>0.63947103322358501</v>
      </c>
    </row>
    <row r="138" spans="2:6" x14ac:dyDescent="0.25">
      <c r="B138" s="1">
        <v>16970</v>
      </c>
      <c r="C138" s="2">
        <v>1408248400000</v>
      </c>
      <c r="F138" s="21">
        <f t="shared" si="2"/>
        <v>0.41530428864680408</v>
      </c>
    </row>
    <row r="139" spans="2:6" x14ac:dyDescent="0.25">
      <c r="B139" s="1">
        <v>16971</v>
      </c>
      <c r="C139" s="2">
        <f>1993.1*10^9</f>
        <v>1993100000000</v>
      </c>
      <c r="F139" s="21">
        <f t="shared" si="2"/>
        <v>1.3067081430936731</v>
      </c>
    </row>
    <row r="140" spans="2:6" x14ac:dyDescent="0.25">
      <c r="B140" s="1">
        <v>16972</v>
      </c>
      <c r="C140" s="2">
        <f>4597.5*10^9</f>
        <v>4597500000000</v>
      </c>
      <c r="F140" s="21">
        <f t="shared" si="2"/>
        <v>1.6671234366503536</v>
      </c>
    </row>
    <row r="141" spans="2:6" x14ac:dyDescent="0.25">
      <c r="B141" s="1">
        <v>16974</v>
      </c>
      <c r="C141" s="2">
        <f>12262.1*10^9</f>
        <v>12262100000000</v>
      </c>
      <c r="F141" s="21">
        <f t="shared" si="2"/>
        <v>0.67240521607228776</v>
      </c>
    </row>
    <row r="142" spans="2:6" x14ac:dyDescent="0.25">
      <c r="B142" s="1">
        <v>16975</v>
      </c>
      <c r="C142" s="2">
        <f>20507.2*10^9</f>
        <v>20507200000000</v>
      </c>
      <c r="F142" s="21">
        <f t="shared" si="2"/>
        <v>0.36314075056565498</v>
      </c>
    </row>
    <row r="143" spans="2:6" x14ac:dyDescent="0.25">
      <c r="B143" s="1">
        <v>16977</v>
      </c>
      <c r="C143" s="2">
        <f>27954.2*10^9</f>
        <v>27954200000000</v>
      </c>
      <c r="F143" s="21">
        <f t="shared" si="2"/>
        <v>0.66436528321325594</v>
      </c>
    </row>
    <row r="144" spans="2:6" x14ac:dyDescent="0.25">
      <c r="B144" s="1">
        <v>16978</v>
      </c>
      <c r="C144" s="2">
        <f>46526*10^9</f>
        <v>46526000000000</v>
      </c>
      <c r="F144" s="21">
        <f t="shared" si="2"/>
        <v>1.2597386407600051</v>
      </c>
    </row>
    <row r="145" spans="1:6" x14ac:dyDescent="0.25">
      <c r="B145" s="1">
        <v>16979</v>
      </c>
      <c r="C145" s="2">
        <f>105136.6*10^9</f>
        <v>105136600000000</v>
      </c>
      <c r="F145" s="21">
        <f t="shared" si="2"/>
        <v>1.6618418324351367</v>
      </c>
    </row>
    <row r="146" spans="1:6" x14ac:dyDescent="0.25">
      <c r="B146" s="1">
        <v>16980</v>
      </c>
      <c r="C146" s="2">
        <f>279857*10^9</f>
        <v>279857000000000</v>
      </c>
      <c r="F146" s="21">
        <f t="shared" si="2"/>
        <v>2.3873213819915171</v>
      </c>
    </row>
    <row r="147" spans="1:6" x14ac:dyDescent="0.25">
      <c r="B147" s="1">
        <v>16981</v>
      </c>
      <c r="C147" s="2">
        <f>947965.6*10^9</f>
        <v>947965600000000</v>
      </c>
      <c r="F147" s="21">
        <f t="shared" si="2"/>
        <v>2.615215573223332</v>
      </c>
    </row>
    <row r="148" spans="1:6" x14ac:dyDescent="0.25">
      <c r="A148" t="s">
        <v>44</v>
      </c>
      <c r="B148" s="1">
        <v>16984</v>
      </c>
      <c r="C148" s="2">
        <f>3427.1*10^12</f>
        <v>3427100000000000</v>
      </c>
      <c r="F148" s="21">
        <f t="shared" si="2"/>
        <v>2.8222987365410988</v>
      </c>
    </row>
    <row r="149" spans="1:6" x14ac:dyDescent="0.25">
      <c r="B149" s="1">
        <v>16985</v>
      </c>
      <c r="C149" s="2">
        <f>13099.4*10^12</f>
        <v>1.30994E+16</v>
      </c>
      <c r="F149" s="21">
        <f t="shared" si="2"/>
        <v>2.9906331587706307</v>
      </c>
    </row>
    <row r="150" spans="1:6" x14ac:dyDescent="0.25">
      <c r="B150" s="1">
        <v>16986</v>
      </c>
      <c r="C150" s="2">
        <f>52274.9*10^12</f>
        <v>5.22749E+16</v>
      </c>
      <c r="F150" s="21">
        <f t="shared" si="2"/>
        <v>3.2644557904462754</v>
      </c>
    </row>
    <row r="151" spans="1:6" x14ac:dyDescent="0.25">
      <c r="B151" s="1">
        <v>16987</v>
      </c>
      <c r="C151" s="2">
        <f>222924*10^12</f>
        <v>2.22924E+17</v>
      </c>
      <c r="F151" s="21">
        <f t="shared" si="2"/>
        <v>3.2166837128348673</v>
      </c>
    </row>
    <row r="152" spans="1:6" x14ac:dyDescent="0.25">
      <c r="B152" s="1">
        <v>16988</v>
      </c>
      <c r="C152" s="2">
        <f>940*10^15</f>
        <v>9.4E+17</v>
      </c>
      <c r="F152" s="21">
        <f t="shared" si="2"/>
        <v>2.90531914893617</v>
      </c>
    </row>
    <row r="153" spans="1:6" x14ac:dyDescent="0.25">
      <c r="B153" s="1">
        <v>16989</v>
      </c>
      <c r="C153" s="2">
        <f>3671*10^15</f>
        <v>3.671E+18</v>
      </c>
      <c r="F153" s="21">
        <f t="shared" si="2"/>
        <v>2.4307545627894305</v>
      </c>
    </row>
    <row r="154" spans="1:6" x14ac:dyDescent="0.25">
      <c r="B154" s="1">
        <v>16991</v>
      </c>
      <c r="C154" s="2">
        <f>12594.3*10^15</f>
        <v>1.25943E+19</v>
      </c>
      <c r="F154" s="21">
        <f t="shared" si="2"/>
        <v>3.4651151711488533</v>
      </c>
    </row>
    <row r="155" spans="1:6" x14ac:dyDescent="0.25">
      <c r="B155" s="1">
        <v>16992</v>
      </c>
      <c r="C155" s="2">
        <f>56235*10^15</f>
        <v>5.6235E+19</v>
      </c>
      <c r="F155" s="21">
        <f t="shared" si="2"/>
        <v>3.4860176046945854</v>
      </c>
    </row>
    <row r="156" spans="1:6" x14ac:dyDescent="0.25">
      <c r="B156" s="1">
        <v>16993</v>
      </c>
      <c r="C156" s="2">
        <f>252271.2*10^15</f>
        <v>2.522712E+20</v>
      </c>
      <c r="F156" s="21">
        <f t="shared" si="2"/>
        <v>11.395390357678563</v>
      </c>
    </row>
    <row r="157" spans="1:6" x14ac:dyDescent="0.25">
      <c r="B157" s="1">
        <v>16994</v>
      </c>
      <c r="C157" s="2">
        <f>3127*10^18</f>
        <v>3.1270000000000003E+21</v>
      </c>
      <c r="F157" s="21">
        <f t="shared" si="2"/>
        <v>3.5628397825391747</v>
      </c>
    </row>
    <row r="158" spans="1:6" x14ac:dyDescent="0.25">
      <c r="B158" s="1">
        <v>16995</v>
      </c>
      <c r="C158" s="2">
        <f>14268*10^18</f>
        <v>1.4268000000000001E+22</v>
      </c>
      <c r="F158" s="21">
        <f t="shared" si="2"/>
        <v>3.8835856462012894</v>
      </c>
    </row>
    <row r="159" spans="1:6" x14ac:dyDescent="0.25">
      <c r="B159" s="1">
        <v>16996</v>
      </c>
      <c r="C159" s="2">
        <f>69679*10^18</f>
        <v>6.9679000000000002E+22</v>
      </c>
      <c r="F159" s="21">
        <f t="shared" si="2"/>
        <v>3.0895104694384243</v>
      </c>
    </row>
    <row r="160" spans="1:6" x14ac:dyDescent="0.25">
      <c r="B160" s="1">
        <v>16998</v>
      </c>
      <c r="C160" s="2">
        <f>284953*10^18</f>
        <v>2.8495299999999999E+23</v>
      </c>
      <c r="F160" s="21">
        <f t="shared" si="2"/>
        <v>4158.8930349917355</v>
      </c>
    </row>
    <row r="161" spans="2:6" x14ac:dyDescent="0.25">
      <c r="B161" s="1">
        <v>17000</v>
      </c>
      <c r="C161" s="2">
        <f>1185374*10^21</f>
        <v>1.185374E+27</v>
      </c>
      <c r="F161" s="21">
        <f t="shared" si="2"/>
        <v>3.2258148061286991</v>
      </c>
    </row>
    <row r="162" spans="2:6" x14ac:dyDescent="0.25">
      <c r="B162" s="1">
        <v>17001</v>
      </c>
      <c r="C162" s="2">
        <f>5009171*10^21</f>
        <v>5.0091710000000003E+27</v>
      </c>
      <c r="F162" s="21">
        <f t="shared" si="2"/>
        <v>2.5463329161651691</v>
      </c>
    </row>
    <row r="163" spans="2:6" x14ac:dyDescent="0.25">
      <c r="B163" s="1">
        <v>17002</v>
      </c>
      <c r="C163" s="2">
        <f>17764188*10^21</f>
        <v>1.7764187999999999E+28</v>
      </c>
      <c r="F163" s="21">
        <f t="shared" si="2"/>
        <v>1.7696360790597352</v>
      </c>
    </row>
    <row r="164" spans="2:6" x14ac:dyDescent="0.25">
      <c r="B164" s="1">
        <v>17003</v>
      </c>
      <c r="C164" s="2">
        <f>49200336*10^21</f>
        <v>4.9200335999999999E+28</v>
      </c>
      <c r="F164" s="21">
        <f t="shared" si="2"/>
        <v>3.1639345715037392</v>
      </c>
    </row>
    <row r="165" spans="2:6" x14ac:dyDescent="0.25">
      <c r="B165" s="1">
        <v>17005</v>
      </c>
      <c r="C165" s="2">
        <f>204866980*10^21</f>
        <v>2.0486697999999999E+29</v>
      </c>
      <c r="F165" s="21">
        <f t="shared" si="2"/>
        <v>2.5103740973777233</v>
      </c>
    </row>
    <row r="166" spans="2:6" x14ac:dyDescent="0.25">
      <c r="B166" s="1">
        <v>17006</v>
      </c>
      <c r="C166" s="2">
        <f>719159740*10^21</f>
        <v>7.1915974000000007E+29</v>
      </c>
      <c r="F166" s="21">
        <f t="shared" si="2"/>
        <v>3.4215753790666863</v>
      </c>
    </row>
    <row r="167" spans="2:6" x14ac:dyDescent="0.25">
      <c r="B167" s="1">
        <v>17007</v>
      </c>
      <c r="C167" s="2">
        <f>3179819000*10^21</f>
        <v>3.179819E+30</v>
      </c>
      <c r="F167" s="21"/>
    </row>
  </sheetData>
  <mergeCells count="1">
    <mergeCell ref="A1:G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0"/>
  <sheetViews>
    <sheetView zoomScale="80" zoomScaleNormal="80" workbookViewId="0">
      <selection sqref="A1:C1"/>
    </sheetView>
  </sheetViews>
  <sheetFormatPr defaultRowHeight="15" x14ac:dyDescent="0.25"/>
  <cols>
    <col min="1" max="1" width="17.5703125" customWidth="1"/>
    <col min="2" max="2" width="33.85546875" style="3" customWidth="1"/>
    <col min="3" max="3" width="23.42578125" customWidth="1"/>
  </cols>
  <sheetData>
    <row r="1" spans="1:3" x14ac:dyDescent="0.25">
      <c r="A1" s="79" t="s">
        <v>52</v>
      </c>
      <c r="B1" s="79"/>
      <c r="C1" s="79"/>
    </row>
    <row r="2" spans="1:3" x14ac:dyDescent="0.25">
      <c r="A2" t="s">
        <v>53</v>
      </c>
    </row>
    <row r="3" spans="1:3" x14ac:dyDescent="0.25">
      <c r="A3" t="s">
        <v>40</v>
      </c>
    </row>
    <row r="4" spans="1:3" x14ac:dyDescent="0.25">
      <c r="A4" t="s">
        <v>41</v>
      </c>
      <c r="B4" s="3" t="s">
        <v>54</v>
      </c>
    </row>
    <row r="5" spans="1:3" x14ac:dyDescent="0.25">
      <c r="A5" s="1">
        <v>16803</v>
      </c>
      <c r="B5" s="3">
        <v>1</v>
      </c>
    </row>
    <row r="6" spans="1:3" x14ac:dyDescent="0.25">
      <c r="A6" s="1">
        <v>16804</v>
      </c>
      <c r="B6" s="3">
        <v>1</v>
      </c>
    </row>
    <row r="7" spans="1:3" x14ac:dyDescent="0.25">
      <c r="A7" s="1">
        <v>16805</v>
      </c>
      <c r="B7" s="3">
        <v>1</v>
      </c>
    </row>
    <row r="8" spans="1:3" x14ac:dyDescent="0.25">
      <c r="A8" s="1">
        <v>16806</v>
      </c>
      <c r="B8" s="3">
        <v>1</v>
      </c>
    </row>
    <row r="9" spans="1:3" x14ac:dyDescent="0.25">
      <c r="A9" s="1">
        <v>16807</v>
      </c>
      <c r="B9" s="3">
        <v>1.04</v>
      </c>
    </row>
    <row r="10" spans="1:3" x14ac:dyDescent="0.25">
      <c r="A10" s="1">
        <v>16808</v>
      </c>
      <c r="B10" s="3">
        <v>1.04</v>
      </c>
    </row>
    <row r="11" spans="1:3" x14ac:dyDescent="0.25">
      <c r="A11" s="1">
        <v>16809</v>
      </c>
      <c r="B11" s="3">
        <v>1.08</v>
      </c>
    </row>
    <row r="12" spans="1:3" x14ac:dyDescent="0.25">
      <c r="A12" s="1">
        <v>16810</v>
      </c>
      <c r="B12" s="3">
        <v>1.0900000000000001</v>
      </c>
    </row>
    <row r="13" spans="1:3" x14ac:dyDescent="0.25">
      <c r="A13" s="1">
        <v>16811</v>
      </c>
      <c r="B13" s="3">
        <v>1.1000000000000001</v>
      </c>
    </row>
    <row r="14" spans="1:3" x14ac:dyDescent="0.25">
      <c r="A14" s="1">
        <v>16812</v>
      </c>
      <c r="B14" s="3">
        <v>1.1000000000000001</v>
      </c>
    </row>
    <row r="15" spans="1:3" x14ac:dyDescent="0.25">
      <c r="A15" s="1">
        <v>16813</v>
      </c>
      <c r="B15" s="3">
        <v>1.0900000000000001</v>
      </c>
    </row>
    <row r="16" spans="1:3" x14ac:dyDescent="0.25">
      <c r="A16" s="1">
        <v>16814</v>
      </c>
      <c r="B16" s="3">
        <v>1.08</v>
      </c>
    </row>
    <row r="17" spans="1:2" x14ac:dyDescent="0.25">
      <c r="A17" s="1">
        <v>16815</v>
      </c>
      <c r="B17" s="3">
        <v>1.07</v>
      </c>
    </row>
    <row r="18" spans="1:2" x14ac:dyDescent="0.25">
      <c r="A18" s="1">
        <v>16816</v>
      </c>
      <c r="B18" s="3">
        <v>1.08</v>
      </c>
    </row>
    <row r="19" spans="1:2" x14ac:dyDescent="0.25">
      <c r="A19" s="1">
        <v>16817</v>
      </c>
      <c r="B19" s="3">
        <v>1.08</v>
      </c>
    </row>
    <row r="20" spans="1:2" x14ac:dyDescent="0.25">
      <c r="A20" s="1">
        <v>16818</v>
      </c>
      <c r="B20" s="3">
        <v>1.1000000000000001</v>
      </c>
    </row>
    <row r="21" spans="1:2" x14ac:dyDescent="0.25">
      <c r="A21" s="1">
        <v>16819</v>
      </c>
      <c r="B21" s="3">
        <v>1.1499999999999999</v>
      </c>
    </row>
    <row r="22" spans="1:2" x14ac:dyDescent="0.25">
      <c r="A22" s="1">
        <v>16820</v>
      </c>
      <c r="B22" s="3">
        <v>1.17</v>
      </c>
    </row>
    <row r="23" spans="1:2" x14ac:dyDescent="0.25">
      <c r="A23" s="1">
        <v>16821</v>
      </c>
      <c r="B23" s="3">
        <v>1.23</v>
      </c>
    </row>
    <row r="24" spans="1:2" x14ac:dyDescent="0.25">
      <c r="A24" s="1">
        <v>16822</v>
      </c>
      <c r="B24" s="3">
        <v>1.28</v>
      </c>
    </row>
    <row r="25" spans="1:2" x14ac:dyDescent="0.25">
      <c r="A25" s="1">
        <v>16823</v>
      </c>
      <c r="B25" s="3">
        <v>1.28</v>
      </c>
    </row>
    <row r="26" spans="1:2" x14ac:dyDescent="0.25">
      <c r="A26" s="1">
        <v>16824</v>
      </c>
      <c r="B26" s="3">
        <v>1.33</v>
      </c>
    </row>
    <row r="27" spans="1:2" x14ac:dyDescent="0.25">
      <c r="A27" s="1">
        <v>16825</v>
      </c>
      <c r="B27" s="3">
        <v>1.35</v>
      </c>
    </row>
    <row r="28" spans="1:2" x14ac:dyDescent="0.25">
      <c r="A28" s="1">
        <v>16826</v>
      </c>
      <c r="B28" s="3">
        <v>1.41</v>
      </c>
    </row>
    <row r="29" spans="1:2" x14ac:dyDescent="0.25">
      <c r="A29" s="1">
        <v>16827</v>
      </c>
      <c r="B29" s="3">
        <v>1.44</v>
      </c>
    </row>
    <row r="30" spans="1:2" x14ac:dyDescent="0.25">
      <c r="A30" s="1">
        <v>16828</v>
      </c>
      <c r="B30" s="3">
        <v>1.5</v>
      </c>
    </row>
    <row r="31" spans="1:2" x14ac:dyDescent="0.25">
      <c r="A31" s="1">
        <v>16829</v>
      </c>
      <c r="B31" s="3">
        <v>1.55</v>
      </c>
    </row>
    <row r="32" spans="1:2" x14ac:dyDescent="0.25">
      <c r="A32" s="1">
        <v>16830</v>
      </c>
      <c r="B32" s="3">
        <v>1.55</v>
      </c>
    </row>
    <row r="33" spans="1:2" x14ac:dyDescent="0.25">
      <c r="A33" s="1">
        <v>16831</v>
      </c>
      <c r="B33" s="3">
        <v>1.56</v>
      </c>
    </row>
    <row r="34" spans="1:2" x14ac:dyDescent="0.25">
      <c r="A34" s="1">
        <v>16832</v>
      </c>
      <c r="B34" s="3">
        <v>1.63</v>
      </c>
    </row>
    <row r="35" spans="1:2" x14ac:dyDescent="0.25">
      <c r="A35" s="1">
        <v>16833</v>
      </c>
      <c r="B35" s="3">
        <v>1.64</v>
      </c>
    </row>
    <row r="36" spans="1:2" x14ac:dyDescent="0.25">
      <c r="A36" s="1">
        <v>16834</v>
      </c>
      <c r="B36" s="3">
        <v>1.7</v>
      </c>
    </row>
    <row r="37" spans="1:2" x14ac:dyDescent="0.25">
      <c r="A37" s="1">
        <v>16835</v>
      </c>
      <c r="B37" s="3">
        <v>1.7</v>
      </c>
    </row>
    <row r="38" spans="1:2" x14ac:dyDescent="0.25">
      <c r="A38" s="1">
        <v>16836</v>
      </c>
      <c r="B38" s="3">
        <v>1.7</v>
      </c>
    </row>
    <row r="39" spans="1:2" x14ac:dyDescent="0.25">
      <c r="A39" s="1">
        <v>16837</v>
      </c>
      <c r="B39" s="3">
        <v>1.7</v>
      </c>
    </row>
    <row r="40" spans="1:2" x14ac:dyDescent="0.25">
      <c r="A40" s="1">
        <v>16838</v>
      </c>
      <c r="B40" s="3">
        <v>1.7</v>
      </c>
    </row>
    <row r="41" spans="1:2" x14ac:dyDescent="0.25">
      <c r="A41" s="1">
        <v>16839</v>
      </c>
      <c r="B41" s="3">
        <v>1.96</v>
      </c>
    </row>
    <row r="42" spans="1:2" x14ac:dyDescent="0.25">
      <c r="A42" s="1">
        <v>16840</v>
      </c>
      <c r="B42" s="3">
        <v>2.16</v>
      </c>
    </row>
    <row r="43" spans="1:2" x14ac:dyDescent="0.25">
      <c r="A43" s="1">
        <v>16841</v>
      </c>
      <c r="B43" s="3">
        <v>2.29</v>
      </c>
    </row>
    <row r="44" spans="1:2" x14ac:dyDescent="0.25">
      <c r="A44" s="1">
        <v>16842</v>
      </c>
      <c r="B44" s="3">
        <v>2.36</v>
      </c>
    </row>
    <row r="45" spans="1:2" x14ac:dyDescent="0.25">
      <c r="A45" s="1">
        <v>16843</v>
      </c>
      <c r="B45" s="3">
        <v>2.42</v>
      </c>
    </row>
    <row r="46" spans="1:2" x14ac:dyDescent="0.25">
      <c r="A46" s="1">
        <v>16844</v>
      </c>
      <c r="B46" s="3">
        <v>2.42</v>
      </c>
    </row>
    <row r="47" spans="1:2" x14ac:dyDescent="0.25">
      <c r="A47" s="1">
        <v>16845</v>
      </c>
      <c r="B47" s="3">
        <v>2.4500000000000002</v>
      </c>
    </row>
    <row r="48" spans="1:2" x14ac:dyDescent="0.25">
      <c r="A48" s="1">
        <v>16846</v>
      </c>
      <c r="B48" s="3">
        <v>2.54</v>
      </c>
    </row>
    <row r="49" spans="1:2" x14ac:dyDescent="0.25">
      <c r="A49" s="1">
        <v>16847</v>
      </c>
      <c r="B49" s="3">
        <v>2.63</v>
      </c>
    </row>
    <row r="50" spans="1:2" x14ac:dyDescent="0.25">
      <c r="A50" s="1">
        <v>16848</v>
      </c>
      <c r="B50" s="3">
        <v>2.71</v>
      </c>
    </row>
    <row r="51" spans="1:2" x14ac:dyDescent="0.25">
      <c r="A51" s="1">
        <v>16849</v>
      </c>
      <c r="B51" s="3">
        <v>2.9</v>
      </c>
    </row>
    <row r="52" spans="1:2" x14ac:dyDescent="0.25">
      <c r="A52" s="1">
        <v>16850</v>
      </c>
      <c r="B52" s="3">
        <v>3.12</v>
      </c>
    </row>
    <row r="53" spans="1:2" x14ac:dyDescent="0.25">
      <c r="A53" s="1">
        <v>16851</v>
      </c>
      <c r="B53" s="3">
        <v>3.12</v>
      </c>
    </row>
    <row r="54" spans="1:2" x14ac:dyDescent="0.25">
      <c r="A54" s="1">
        <v>16852</v>
      </c>
      <c r="B54" s="3">
        <v>3.49</v>
      </c>
    </row>
    <row r="55" spans="1:2" x14ac:dyDescent="0.25">
      <c r="A55" s="1">
        <v>16853</v>
      </c>
      <c r="B55" s="3">
        <v>3.9</v>
      </c>
    </row>
    <row r="56" spans="1:2" x14ac:dyDescent="0.25">
      <c r="A56" s="1">
        <v>16854</v>
      </c>
      <c r="B56" s="3">
        <v>4.17</v>
      </c>
    </row>
    <row r="57" spans="1:2" x14ac:dyDescent="0.25">
      <c r="A57" s="1">
        <v>16855</v>
      </c>
      <c r="B57" s="3">
        <v>4.5599999999999996</v>
      </c>
    </row>
    <row r="58" spans="1:2" x14ac:dyDescent="0.25">
      <c r="A58" s="1">
        <v>16856</v>
      </c>
      <c r="B58" s="3">
        <v>5.39</v>
      </c>
    </row>
    <row r="59" spans="1:2" x14ac:dyDescent="0.25">
      <c r="A59" s="1">
        <v>16857</v>
      </c>
      <c r="B59" s="3">
        <v>6.25</v>
      </c>
    </row>
    <row r="60" spans="1:2" x14ac:dyDescent="0.25">
      <c r="A60" s="1">
        <v>16858</v>
      </c>
      <c r="B60" s="3">
        <v>6.25</v>
      </c>
    </row>
    <row r="61" spans="1:2" x14ac:dyDescent="0.25">
      <c r="A61" s="1">
        <v>16859</v>
      </c>
      <c r="B61" s="3">
        <v>7.16</v>
      </c>
    </row>
    <row r="62" spans="1:2" x14ac:dyDescent="0.25">
      <c r="A62" s="1">
        <v>16860</v>
      </c>
      <c r="B62" s="3">
        <v>8.82</v>
      </c>
    </row>
    <row r="63" spans="1:2" x14ac:dyDescent="0.25">
      <c r="A63" s="1">
        <v>16861</v>
      </c>
      <c r="B63" s="3">
        <v>9.85</v>
      </c>
    </row>
    <row r="64" spans="1:2" x14ac:dyDescent="0.25">
      <c r="A64" s="1">
        <v>16862</v>
      </c>
      <c r="B64" s="3">
        <v>10</v>
      </c>
    </row>
    <row r="65" spans="1:2" x14ac:dyDescent="0.25">
      <c r="A65" s="1">
        <v>16863</v>
      </c>
      <c r="B65" s="3">
        <v>10.64</v>
      </c>
    </row>
    <row r="66" spans="1:2" x14ac:dyDescent="0.25">
      <c r="A66" s="1">
        <v>16864</v>
      </c>
      <c r="B66" s="3">
        <v>10.64</v>
      </c>
    </row>
    <row r="67" spans="1:2" x14ac:dyDescent="0.25">
      <c r="A67" s="1">
        <v>16865</v>
      </c>
      <c r="B67" s="3">
        <v>12.15</v>
      </c>
    </row>
    <row r="68" spans="1:2" x14ac:dyDescent="0.25">
      <c r="A68" s="1">
        <v>16866</v>
      </c>
      <c r="B68" s="3">
        <v>12.9</v>
      </c>
    </row>
    <row r="69" spans="1:2" x14ac:dyDescent="0.25">
      <c r="A69" s="1">
        <v>16867</v>
      </c>
      <c r="B69" s="3">
        <v>13.3</v>
      </c>
    </row>
    <row r="70" spans="1:2" x14ac:dyDescent="0.25">
      <c r="A70" s="1">
        <v>16868</v>
      </c>
      <c r="B70" s="3">
        <v>13.92</v>
      </c>
    </row>
    <row r="71" spans="1:2" x14ac:dyDescent="0.25">
      <c r="A71" s="1">
        <v>16869</v>
      </c>
      <c r="B71" s="3">
        <v>14.4</v>
      </c>
    </row>
    <row r="72" spans="1:2" x14ac:dyDescent="0.25">
      <c r="A72" s="1">
        <v>16870</v>
      </c>
      <c r="B72" s="3">
        <v>14.7</v>
      </c>
    </row>
    <row r="73" spans="1:2" x14ac:dyDescent="0.25">
      <c r="A73" s="1">
        <v>16871</v>
      </c>
      <c r="B73" s="3">
        <v>14.7</v>
      </c>
    </row>
    <row r="74" spans="1:2" x14ac:dyDescent="0.25">
      <c r="A74" s="1">
        <v>16872</v>
      </c>
      <c r="B74" s="3">
        <v>14.9</v>
      </c>
    </row>
    <row r="75" spans="1:2" x14ac:dyDescent="0.25">
      <c r="A75" s="1">
        <v>16873</v>
      </c>
      <c r="B75" s="3">
        <v>16.3</v>
      </c>
    </row>
    <row r="76" spans="1:2" x14ac:dyDescent="0.25">
      <c r="A76" s="1">
        <v>16874</v>
      </c>
      <c r="B76" s="3">
        <v>16.8</v>
      </c>
    </row>
    <row r="77" spans="1:2" x14ac:dyDescent="0.25">
      <c r="A77" s="1">
        <v>16875</v>
      </c>
      <c r="B77" s="3">
        <v>17.2</v>
      </c>
    </row>
    <row r="78" spans="1:2" x14ac:dyDescent="0.25">
      <c r="A78" s="1">
        <v>16876</v>
      </c>
      <c r="B78" s="3">
        <v>18.399999999999999</v>
      </c>
    </row>
    <row r="79" spans="1:2" x14ac:dyDescent="0.25">
      <c r="A79" s="1">
        <v>16877</v>
      </c>
      <c r="B79" s="3">
        <v>18.399999999999999</v>
      </c>
    </row>
    <row r="80" spans="1:2" x14ac:dyDescent="0.25">
      <c r="A80" s="1">
        <v>16878</v>
      </c>
      <c r="B80" s="3">
        <v>19.2</v>
      </c>
    </row>
    <row r="81" spans="1:2" x14ac:dyDescent="0.25">
      <c r="A81" s="1">
        <v>16879</v>
      </c>
      <c r="B81" s="3">
        <v>19.2</v>
      </c>
    </row>
    <row r="82" spans="1:2" x14ac:dyDescent="0.25">
      <c r="A82" s="1">
        <v>16880</v>
      </c>
      <c r="B82" s="3">
        <v>20.3</v>
      </c>
    </row>
    <row r="83" spans="1:2" x14ac:dyDescent="0.25">
      <c r="A83" s="1">
        <v>16881</v>
      </c>
      <c r="B83" s="3">
        <v>21.9</v>
      </c>
    </row>
    <row r="84" spans="1:2" x14ac:dyDescent="0.25">
      <c r="A84" s="1">
        <v>16882</v>
      </c>
      <c r="B84" s="3">
        <v>23.9</v>
      </c>
    </row>
    <row r="85" spans="1:2" x14ac:dyDescent="0.25">
      <c r="A85" s="1">
        <v>16883</v>
      </c>
      <c r="B85" s="3">
        <v>24.8</v>
      </c>
    </row>
    <row r="86" spans="1:2" x14ac:dyDescent="0.25">
      <c r="A86" s="1">
        <v>16884</v>
      </c>
      <c r="B86" s="3">
        <v>27.6</v>
      </c>
    </row>
    <row r="87" spans="1:2" x14ac:dyDescent="0.25">
      <c r="A87" s="1">
        <v>16885</v>
      </c>
      <c r="B87" s="3">
        <v>30.2</v>
      </c>
    </row>
    <row r="88" spans="1:2" x14ac:dyDescent="0.25">
      <c r="A88" s="1">
        <v>16886</v>
      </c>
      <c r="B88" s="3">
        <v>30.2</v>
      </c>
    </row>
    <row r="89" spans="1:2" x14ac:dyDescent="0.25">
      <c r="A89" s="1">
        <v>16887</v>
      </c>
      <c r="B89" s="3">
        <v>30.2</v>
      </c>
    </row>
    <row r="90" spans="1:2" x14ac:dyDescent="0.25">
      <c r="A90" s="1">
        <v>16888</v>
      </c>
      <c r="B90" s="3">
        <v>33</v>
      </c>
    </row>
    <row r="91" spans="1:2" x14ac:dyDescent="0.25">
      <c r="A91" s="1">
        <v>16889</v>
      </c>
      <c r="B91" s="3">
        <v>35</v>
      </c>
    </row>
    <row r="92" spans="1:2" x14ac:dyDescent="0.25">
      <c r="A92" s="1">
        <v>16890</v>
      </c>
      <c r="B92" s="3">
        <v>38</v>
      </c>
    </row>
    <row r="93" spans="1:2" x14ac:dyDescent="0.25">
      <c r="A93" s="1">
        <v>16891</v>
      </c>
      <c r="B93" s="3">
        <v>42</v>
      </c>
    </row>
    <row r="94" spans="1:2" x14ac:dyDescent="0.25">
      <c r="A94" s="1">
        <v>16892</v>
      </c>
      <c r="B94" s="3">
        <v>44</v>
      </c>
    </row>
    <row r="95" spans="1:2" x14ac:dyDescent="0.25">
      <c r="A95" s="1">
        <v>16893</v>
      </c>
      <c r="B95" s="3">
        <v>44</v>
      </c>
    </row>
    <row r="96" spans="1:2" x14ac:dyDescent="0.25">
      <c r="A96" s="1">
        <v>16894</v>
      </c>
      <c r="B96" s="3">
        <v>51</v>
      </c>
    </row>
    <row r="97" spans="1:2" x14ac:dyDescent="0.25">
      <c r="A97" s="1">
        <v>16895</v>
      </c>
      <c r="B97" s="3">
        <v>56</v>
      </c>
    </row>
    <row r="98" spans="1:2" x14ac:dyDescent="0.25">
      <c r="A98" s="1">
        <v>16896</v>
      </c>
      <c r="B98" s="3">
        <v>59</v>
      </c>
    </row>
    <row r="99" spans="1:2" x14ac:dyDescent="0.25">
      <c r="A99" s="1">
        <v>16897</v>
      </c>
      <c r="B99" s="3">
        <v>59</v>
      </c>
    </row>
    <row r="100" spans="1:2" x14ac:dyDescent="0.25">
      <c r="A100" s="1">
        <v>16898</v>
      </c>
      <c r="B100" s="3">
        <v>67</v>
      </c>
    </row>
    <row r="101" spans="1:2" x14ac:dyDescent="0.25">
      <c r="A101" s="1">
        <v>16899</v>
      </c>
      <c r="B101" s="3">
        <v>76</v>
      </c>
    </row>
    <row r="102" spans="1:2" x14ac:dyDescent="0.25">
      <c r="A102" s="1">
        <v>16900</v>
      </c>
      <c r="B102" s="3">
        <v>76</v>
      </c>
    </row>
    <row r="103" spans="1:2" x14ac:dyDescent="0.25">
      <c r="A103" s="1">
        <v>16901</v>
      </c>
      <c r="B103" s="3">
        <v>86</v>
      </c>
    </row>
    <row r="104" spans="1:2" x14ac:dyDescent="0.25">
      <c r="A104" s="1">
        <v>16902</v>
      </c>
      <c r="B104" s="3">
        <v>91</v>
      </c>
    </row>
    <row r="105" spans="1:2" x14ac:dyDescent="0.25">
      <c r="A105" s="1">
        <v>16903</v>
      </c>
      <c r="B105" s="3">
        <v>102</v>
      </c>
    </row>
    <row r="106" spans="1:2" x14ac:dyDescent="0.25">
      <c r="A106" s="1">
        <v>16904</v>
      </c>
      <c r="B106" s="3">
        <v>106</v>
      </c>
    </row>
    <row r="107" spans="1:2" x14ac:dyDescent="0.25">
      <c r="A107" s="1">
        <v>16905</v>
      </c>
      <c r="B107" s="3">
        <v>120</v>
      </c>
    </row>
    <row r="108" spans="1:2" x14ac:dyDescent="0.25">
      <c r="A108" s="1">
        <v>16906</v>
      </c>
      <c r="B108" s="3">
        <v>133</v>
      </c>
    </row>
    <row r="109" spans="1:2" x14ac:dyDescent="0.25">
      <c r="A109" s="1">
        <v>16907</v>
      </c>
      <c r="B109" s="3">
        <v>133</v>
      </c>
    </row>
    <row r="110" spans="1:2" x14ac:dyDescent="0.25">
      <c r="A110" s="1">
        <v>16908</v>
      </c>
      <c r="B110" s="3">
        <v>155</v>
      </c>
    </row>
    <row r="111" spans="1:2" x14ac:dyDescent="0.25">
      <c r="A111" s="1">
        <v>16909</v>
      </c>
      <c r="B111" s="3">
        <v>170</v>
      </c>
    </row>
    <row r="112" spans="1:2" x14ac:dyDescent="0.25">
      <c r="A112" s="1">
        <v>16910</v>
      </c>
      <c r="B112" s="3">
        <v>194</v>
      </c>
    </row>
    <row r="113" spans="1:2" x14ac:dyDescent="0.25">
      <c r="A113" s="1">
        <v>16911</v>
      </c>
      <c r="B113" s="3">
        <v>215</v>
      </c>
    </row>
    <row r="114" spans="1:2" x14ac:dyDescent="0.25">
      <c r="A114" s="1">
        <v>16912</v>
      </c>
      <c r="B114" s="3">
        <v>232</v>
      </c>
    </row>
    <row r="115" spans="1:2" x14ac:dyDescent="0.25">
      <c r="A115" s="1">
        <v>16913</v>
      </c>
      <c r="B115" s="3">
        <v>260</v>
      </c>
    </row>
    <row r="116" spans="1:2" x14ac:dyDescent="0.25">
      <c r="A116" s="1">
        <v>16914</v>
      </c>
      <c r="B116" s="3">
        <v>260</v>
      </c>
    </row>
    <row r="117" spans="1:2" x14ac:dyDescent="0.25">
      <c r="A117" s="1">
        <v>16915</v>
      </c>
      <c r="B117" s="3">
        <v>260</v>
      </c>
    </row>
    <row r="118" spans="1:2" x14ac:dyDescent="0.25">
      <c r="A118" s="1">
        <v>16916</v>
      </c>
      <c r="B118" s="3">
        <v>320</v>
      </c>
    </row>
    <row r="119" spans="1:2" x14ac:dyDescent="0.25">
      <c r="A119" s="1">
        <v>16917</v>
      </c>
      <c r="B119" s="3">
        <v>395</v>
      </c>
    </row>
    <row r="120" spans="1:2" x14ac:dyDescent="0.25">
      <c r="A120" s="1">
        <v>16918</v>
      </c>
      <c r="B120" s="3">
        <v>415</v>
      </c>
    </row>
    <row r="121" spans="1:2" x14ac:dyDescent="0.25">
      <c r="A121" s="1">
        <v>16919</v>
      </c>
      <c r="B121" s="3">
        <v>460</v>
      </c>
    </row>
    <row r="122" spans="1:2" x14ac:dyDescent="0.25">
      <c r="A122" s="1">
        <v>16920</v>
      </c>
      <c r="B122" s="3">
        <v>520</v>
      </c>
    </row>
    <row r="123" spans="1:2" x14ac:dyDescent="0.25">
      <c r="A123" s="1">
        <v>16921</v>
      </c>
      <c r="B123" s="3">
        <v>520</v>
      </c>
    </row>
    <row r="124" spans="1:2" x14ac:dyDescent="0.25">
      <c r="A124" s="1">
        <v>16922</v>
      </c>
      <c r="B124" s="3">
        <v>570</v>
      </c>
    </row>
    <row r="125" spans="1:2" x14ac:dyDescent="0.25">
      <c r="A125" s="1">
        <v>16923</v>
      </c>
      <c r="B125" s="3">
        <v>630</v>
      </c>
    </row>
    <row r="126" spans="1:2" x14ac:dyDescent="0.25">
      <c r="A126" s="1">
        <v>16924</v>
      </c>
      <c r="B126" s="3">
        <v>630</v>
      </c>
    </row>
    <row r="127" spans="1:2" x14ac:dyDescent="0.25">
      <c r="A127" s="1">
        <v>16925</v>
      </c>
      <c r="B127" s="3">
        <v>780</v>
      </c>
    </row>
    <row r="128" spans="1:2" x14ac:dyDescent="0.25">
      <c r="A128" s="1">
        <v>16926</v>
      </c>
      <c r="B128" s="3">
        <v>910</v>
      </c>
    </row>
    <row r="129" spans="1:2" x14ac:dyDescent="0.25">
      <c r="A129" s="1">
        <v>16927</v>
      </c>
      <c r="B129" s="3">
        <v>1120</v>
      </c>
    </row>
    <row r="130" spans="1:2" x14ac:dyDescent="0.25">
      <c r="A130" s="1">
        <v>16928</v>
      </c>
      <c r="B130" s="3">
        <v>1120</v>
      </c>
    </row>
    <row r="131" spans="1:2" x14ac:dyDescent="0.25">
      <c r="A131" s="1">
        <v>16929</v>
      </c>
      <c r="B131" s="3">
        <v>1370</v>
      </c>
    </row>
    <row r="132" spans="1:2" x14ac:dyDescent="0.25">
      <c r="A132" s="1">
        <v>16930</v>
      </c>
      <c r="B132" s="3">
        <v>1570</v>
      </c>
    </row>
    <row r="133" spans="1:2" x14ac:dyDescent="0.25">
      <c r="A133" s="1">
        <v>16931</v>
      </c>
      <c r="B133" s="3">
        <v>1730</v>
      </c>
    </row>
    <row r="134" spans="1:2" x14ac:dyDescent="0.25">
      <c r="A134" s="1">
        <v>16932</v>
      </c>
      <c r="B134" s="3">
        <v>2120</v>
      </c>
    </row>
    <row r="135" spans="1:2" x14ac:dyDescent="0.25">
      <c r="A135" s="1">
        <v>16933</v>
      </c>
      <c r="B135" s="3">
        <v>2560</v>
      </c>
    </row>
    <row r="136" spans="1:2" x14ac:dyDescent="0.25">
      <c r="A136" s="1">
        <v>16934</v>
      </c>
      <c r="B136" s="3">
        <v>2950</v>
      </c>
    </row>
    <row r="137" spans="1:2" x14ac:dyDescent="0.25">
      <c r="A137" s="1">
        <v>16935</v>
      </c>
      <c r="B137" s="3">
        <v>2950</v>
      </c>
    </row>
    <row r="138" spans="1:2" x14ac:dyDescent="0.25">
      <c r="A138" s="1">
        <v>16936</v>
      </c>
      <c r="B138" s="3">
        <v>3700</v>
      </c>
    </row>
    <row r="139" spans="1:2" x14ac:dyDescent="0.25">
      <c r="A139" s="1">
        <v>16937</v>
      </c>
      <c r="B139" s="3">
        <v>4440</v>
      </c>
    </row>
    <row r="140" spans="1:2" x14ac:dyDescent="0.25">
      <c r="A140" s="1">
        <v>16938</v>
      </c>
      <c r="B140" s="3">
        <v>5100</v>
      </c>
    </row>
    <row r="141" spans="1:2" x14ac:dyDescent="0.25">
      <c r="A141" s="1">
        <v>16939</v>
      </c>
      <c r="B141" s="3">
        <v>6500</v>
      </c>
    </row>
    <row r="142" spans="1:2" x14ac:dyDescent="0.25">
      <c r="A142" s="1">
        <v>16940</v>
      </c>
      <c r="B142" s="3">
        <v>8400</v>
      </c>
    </row>
    <row r="143" spans="1:2" x14ac:dyDescent="0.25">
      <c r="A143" s="1">
        <v>16941</v>
      </c>
      <c r="B143" s="3">
        <v>10900</v>
      </c>
    </row>
    <row r="144" spans="1:2" x14ac:dyDescent="0.25">
      <c r="A144" s="1">
        <v>16943</v>
      </c>
      <c r="B144" s="3">
        <v>14500</v>
      </c>
    </row>
    <row r="145" spans="1:2" x14ac:dyDescent="0.25">
      <c r="A145" s="1">
        <v>16944</v>
      </c>
      <c r="B145" s="3">
        <v>17400</v>
      </c>
    </row>
    <row r="146" spans="1:2" x14ac:dyDescent="0.25">
      <c r="A146" s="1">
        <v>16945</v>
      </c>
      <c r="B146" s="3">
        <v>21400</v>
      </c>
    </row>
    <row r="147" spans="1:2" x14ac:dyDescent="0.25">
      <c r="A147" s="1">
        <v>16946</v>
      </c>
      <c r="B147" s="3">
        <v>29300</v>
      </c>
    </row>
    <row r="148" spans="1:2" x14ac:dyDescent="0.25">
      <c r="A148" s="1">
        <v>16947</v>
      </c>
      <c r="B148" s="3">
        <v>40000</v>
      </c>
    </row>
    <row r="149" spans="1:2" x14ac:dyDescent="0.25">
      <c r="A149" s="1">
        <v>16949</v>
      </c>
      <c r="B149" s="3">
        <v>50000</v>
      </c>
    </row>
    <row r="150" spans="1:2" x14ac:dyDescent="0.25">
      <c r="A150" s="1">
        <v>16950</v>
      </c>
      <c r="B150" s="3">
        <v>71000</v>
      </c>
    </row>
    <row r="151" spans="1:2" x14ac:dyDescent="0.25">
      <c r="A151" s="1">
        <v>16951</v>
      </c>
      <c r="B151" s="3">
        <v>85000</v>
      </c>
    </row>
    <row r="152" spans="1:2" x14ac:dyDescent="0.25">
      <c r="A152" s="1">
        <v>16953</v>
      </c>
      <c r="B152" s="3">
        <v>108000</v>
      </c>
    </row>
    <row r="153" spans="1:2" x14ac:dyDescent="0.25">
      <c r="A153" s="1">
        <v>16954</v>
      </c>
      <c r="B153" s="3">
        <v>198000</v>
      </c>
    </row>
    <row r="154" spans="1:2" x14ac:dyDescent="0.25">
      <c r="A154" s="1">
        <v>16956</v>
      </c>
      <c r="B154" s="3">
        <v>160000</v>
      </c>
    </row>
    <row r="155" spans="1:2" x14ac:dyDescent="0.25">
      <c r="A155" s="1">
        <v>16957</v>
      </c>
      <c r="B155" s="3">
        <v>240000</v>
      </c>
    </row>
    <row r="156" spans="1:2" x14ac:dyDescent="0.25">
      <c r="A156" s="1">
        <v>16958</v>
      </c>
      <c r="B156" s="3">
        <v>310000</v>
      </c>
    </row>
    <row r="157" spans="1:2" x14ac:dyDescent="0.25">
      <c r="A157" s="1">
        <v>16959</v>
      </c>
      <c r="B157" s="3">
        <v>405000</v>
      </c>
    </row>
    <row r="158" spans="1:2" x14ac:dyDescent="0.25">
      <c r="A158" s="1">
        <v>16960</v>
      </c>
      <c r="B158" s="3">
        <v>610000</v>
      </c>
    </row>
    <row r="159" spans="1:2" x14ac:dyDescent="0.25">
      <c r="A159" s="1">
        <v>16961</v>
      </c>
      <c r="B159" s="3">
        <v>860000</v>
      </c>
    </row>
    <row r="160" spans="1:2" x14ac:dyDescent="0.25">
      <c r="A160" s="1">
        <v>16964</v>
      </c>
      <c r="B160" s="3">
        <v>1120000</v>
      </c>
    </row>
    <row r="161" spans="1:2" x14ac:dyDescent="0.25">
      <c r="A161" s="1">
        <v>16965</v>
      </c>
      <c r="B161" s="3">
        <v>1770000</v>
      </c>
    </row>
    <row r="162" spans="1:2" x14ac:dyDescent="0.25">
      <c r="A162" s="1">
        <v>16966</v>
      </c>
      <c r="B162" s="3">
        <v>2400000</v>
      </c>
    </row>
    <row r="163" spans="1:2" x14ac:dyDescent="0.25">
      <c r="A163" s="1">
        <v>16967</v>
      </c>
      <c r="B163" s="3">
        <v>3600000</v>
      </c>
    </row>
    <row r="164" spans="1:2" x14ac:dyDescent="0.25">
      <c r="A164" s="1">
        <v>16968</v>
      </c>
      <c r="B164" s="3">
        <v>5600000</v>
      </c>
    </row>
    <row r="165" spans="1:2" x14ac:dyDescent="0.25">
      <c r="A165" s="1">
        <v>16969</v>
      </c>
      <c r="B165" s="3">
        <v>8320000</v>
      </c>
    </row>
    <row r="166" spans="1:2" x14ac:dyDescent="0.25">
      <c r="A166" s="1">
        <v>16970</v>
      </c>
      <c r="B166" s="3">
        <v>8320000</v>
      </c>
    </row>
    <row r="167" spans="1:2" x14ac:dyDescent="0.25">
      <c r="A167" s="1">
        <v>16971</v>
      </c>
      <c r="B167" s="3">
        <v>14500000</v>
      </c>
    </row>
    <row r="168" spans="1:2" x14ac:dyDescent="0.25">
      <c r="A168" s="1">
        <v>16972</v>
      </c>
      <c r="B168" s="3">
        <f>22*10^6</f>
        <v>22000000</v>
      </c>
    </row>
    <row r="169" spans="1:2" x14ac:dyDescent="0.25">
      <c r="A169" s="1">
        <v>16973</v>
      </c>
      <c r="B169" s="3">
        <v>22000000</v>
      </c>
    </row>
    <row r="170" spans="1:2" x14ac:dyDescent="0.25">
      <c r="A170" s="1">
        <v>16974</v>
      </c>
      <c r="B170" s="3">
        <v>40000000</v>
      </c>
    </row>
    <row r="171" spans="1:2" x14ac:dyDescent="0.25">
      <c r="A171" s="1">
        <v>16975</v>
      </c>
      <c r="B171" s="3">
        <v>90000000</v>
      </c>
    </row>
    <row r="172" spans="1:2" x14ac:dyDescent="0.25">
      <c r="A172" s="1">
        <v>16976</v>
      </c>
      <c r="B172" s="3">
        <v>90000000</v>
      </c>
    </row>
    <row r="173" spans="1:2" x14ac:dyDescent="0.25">
      <c r="A173" s="1">
        <v>16977</v>
      </c>
      <c r="B173" s="3">
        <v>150000000</v>
      </c>
    </row>
    <row r="174" spans="1:2" x14ac:dyDescent="0.25">
      <c r="A174" s="1">
        <v>16978</v>
      </c>
      <c r="B174" s="3">
        <v>290000000</v>
      </c>
    </row>
    <row r="175" spans="1:2" x14ac:dyDescent="0.25">
      <c r="A175" s="1">
        <v>16979</v>
      </c>
      <c r="B175" s="3">
        <v>530000000</v>
      </c>
    </row>
    <row r="176" spans="1:2" x14ac:dyDescent="0.25">
      <c r="A176" s="1">
        <v>16980</v>
      </c>
      <c r="B176" s="3">
        <v>1100000000</v>
      </c>
    </row>
    <row r="177" spans="1:2" x14ac:dyDescent="0.25">
      <c r="A177" s="1">
        <v>16981</v>
      </c>
      <c r="B177" s="3">
        <v>3000000000</v>
      </c>
    </row>
    <row r="178" spans="1:2" x14ac:dyDescent="0.25">
      <c r="A178" s="1">
        <v>16982</v>
      </c>
      <c r="B178" s="3">
        <v>7500000000</v>
      </c>
    </row>
    <row r="179" spans="1:2" x14ac:dyDescent="0.25">
      <c r="A179" s="1">
        <v>16983</v>
      </c>
      <c r="B179" s="3">
        <v>750000000</v>
      </c>
    </row>
    <row r="180" spans="1:2" x14ac:dyDescent="0.25">
      <c r="A180" s="1">
        <v>16984</v>
      </c>
      <c r="B180" s="3">
        <v>7500000000</v>
      </c>
    </row>
    <row r="181" spans="1:2" x14ac:dyDescent="0.25">
      <c r="A181" s="1">
        <v>16985</v>
      </c>
      <c r="B181" s="3">
        <v>27000000000</v>
      </c>
    </row>
    <row r="182" spans="1:2" x14ac:dyDescent="0.25">
      <c r="A182" s="1">
        <v>16986</v>
      </c>
      <c r="B182" s="3">
        <v>95000000000</v>
      </c>
    </row>
    <row r="183" spans="1:2" x14ac:dyDescent="0.25">
      <c r="A183" s="1">
        <v>16987</v>
      </c>
      <c r="B183" s="3">
        <v>340000000000</v>
      </c>
    </row>
    <row r="184" spans="1:2" x14ac:dyDescent="0.25">
      <c r="A184" s="1">
        <v>16988</v>
      </c>
      <c r="B184" s="3">
        <v>12000000000000</v>
      </c>
    </row>
    <row r="185" spans="1:2" x14ac:dyDescent="0.25">
      <c r="A185" s="1">
        <v>16989</v>
      </c>
      <c r="B185" s="3">
        <v>3900000000000</v>
      </c>
    </row>
    <row r="186" spans="1:2" x14ac:dyDescent="0.25">
      <c r="A186" s="1">
        <v>16990</v>
      </c>
      <c r="B186" s="3">
        <v>12000000000000</v>
      </c>
    </row>
    <row r="187" spans="1:2" x14ac:dyDescent="0.25">
      <c r="A187" s="1">
        <v>16991</v>
      </c>
      <c r="B187" s="3">
        <v>50000000000000</v>
      </c>
    </row>
    <row r="188" spans="1:2" x14ac:dyDescent="0.25">
      <c r="A188" s="1">
        <v>16992</v>
      </c>
      <c r="B188" s="3">
        <v>200000000000000</v>
      </c>
    </row>
    <row r="189" spans="1:2" x14ac:dyDescent="0.25">
      <c r="A189" s="1">
        <v>16994</v>
      </c>
      <c r="B189" s="3">
        <f>600*10^12</f>
        <v>600000000000000</v>
      </c>
    </row>
    <row r="190" spans="1:2" x14ac:dyDescent="0.25">
      <c r="A190" s="1">
        <v>16995</v>
      </c>
      <c r="B190" s="3">
        <f>1600*10^12</f>
        <v>1600000000000000</v>
      </c>
    </row>
    <row r="191" spans="1:2" x14ac:dyDescent="0.25">
      <c r="A191" s="1">
        <v>16996</v>
      </c>
      <c r="B191" s="3">
        <f>4500*10^12</f>
        <v>4500000000000000</v>
      </c>
    </row>
    <row r="192" spans="1:2" x14ac:dyDescent="0.25">
      <c r="A192" s="1">
        <v>16998</v>
      </c>
      <c r="B192" s="3">
        <f>13500*10^12</f>
        <v>1.35E+16</v>
      </c>
    </row>
    <row r="193" spans="1:2" x14ac:dyDescent="0.25">
      <c r="A193" s="1">
        <v>16999</v>
      </c>
      <c r="B193" s="3">
        <f>40000*10^12</f>
        <v>4E+16</v>
      </c>
    </row>
    <row r="194" spans="1:2" x14ac:dyDescent="0.25">
      <c r="A194" s="1">
        <v>17000</v>
      </c>
      <c r="B194" s="3">
        <f>120000*10^12</f>
        <v>1.2E+17</v>
      </c>
    </row>
    <row r="195" spans="1:2" x14ac:dyDescent="0.25">
      <c r="A195" s="1">
        <v>17001</v>
      </c>
      <c r="B195" s="3">
        <f>360000*10^12</f>
        <v>3.6E+17</v>
      </c>
    </row>
    <row r="196" spans="1:2" x14ac:dyDescent="0.25">
      <c r="A196" s="1">
        <v>17002</v>
      </c>
      <c r="B196" s="3">
        <f>1100000*10^12</f>
        <v>1.1E+18</v>
      </c>
    </row>
    <row r="197" spans="1:2" x14ac:dyDescent="0.25">
      <c r="A197" s="1">
        <v>17003</v>
      </c>
      <c r="B197" s="3">
        <f>2500000*10^12</f>
        <v>2.5E+18</v>
      </c>
    </row>
    <row r="198" spans="1:2" x14ac:dyDescent="0.25">
      <c r="A198" s="1">
        <v>17005</v>
      </c>
      <c r="B198" s="3">
        <f>7000000*10^12</f>
        <v>7E+18</v>
      </c>
    </row>
    <row r="199" spans="1:2" x14ac:dyDescent="0.25">
      <c r="A199" s="1">
        <v>17006</v>
      </c>
      <c r="B199" s="3">
        <f>20000000*10^12</f>
        <v>2E+19</v>
      </c>
    </row>
    <row r="200" spans="1:2" x14ac:dyDescent="0.25">
      <c r="A200" s="1">
        <v>17007</v>
      </c>
      <c r="B200" s="3">
        <f>50000000*10^12</f>
        <v>5E+19</v>
      </c>
    </row>
    <row r="201" spans="1:2" x14ac:dyDescent="0.25">
      <c r="A201" s="1">
        <v>17008</v>
      </c>
      <c r="B201" s="3">
        <f>120000000*10^12</f>
        <v>1.2E+20</v>
      </c>
    </row>
    <row r="202" spans="1:2" x14ac:dyDescent="0.25">
      <c r="A202" s="1">
        <v>17009</v>
      </c>
      <c r="B202" s="3">
        <f>300000000*10^12</f>
        <v>3E+20</v>
      </c>
    </row>
    <row r="203" spans="1:2" x14ac:dyDescent="0.25">
      <c r="A203" s="1">
        <v>17010</v>
      </c>
      <c r="B203" s="3">
        <f>700000000*10^12</f>
        <v>7E+20</v>
      </c>
    </row>
    <row r="204" spans="1:2" x14ac:dyDescent="0.25">
      <c r="A204" s="1">
        <v>17012</v>
      </c>
      <c r="B204" s="3">
        <f>2000000000*10^12</f>
        <v>2E+21</v>
      </c>
    </row>
    <row r="205" spans="1:2" x14ac:dyDescent="0.25">
      <c r="A205" s="1"/>
    </row>
    <row r="206" spans="1:2" x14ac:dyDescent="0.25">
      <c r="A206" s="1"/>
    </row>
    <row r="207" spans="1:2" x14ac:dyDescent="0.25">
      <c r="A207" s="1"/>
    </row>
    <row r="208" spans="1:2" x14ac:dyDescent="0.25">
      <c r="A208" s="1"/>
    </row>
    <row r="209" spans="1:1" x14ac:dyDescent="0.25">
      <c r="A209" s="1"/>
    </row>
    <row r="210" spans="1:1" x14ac:dyDescent="0.25">
      <c r="A210" s="1"/>
    </row>
  </sheetData>
  <mergeCells count="1">
    <mergeCell ref="A1:C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zoomScale="80" zoomScaleNormal="80" workbookViewId="0"/>
  </sheetViews>
  <sheetFormatPr defaultRowHeight="15" x14ac:dyDescent="0.25"/>
  <cols>
    <col min="2" max="2" width="18.85546875" customWidth="1"/>
  </cols>
  <sheetData>
    <row r="1" spans="1:2" x14ac:dyDescent="0.25">
      <c r="B1" t="s">
        <v>55</v>
      </c>
    </row>
    <row r="2" spans="1:2" x14ac:dyDescent="0.25">
      <c r="B2" t="s">
        <v>56</v>
      </c>
    </row>
    <row r="3" spans="1:2" x14ac:dyDescent="0.25">
      <c r="B3" t="s">
        <v>57</v>
      </c>
    </row>
    <row r="5" spans="1:2" x14ac:dyDescent="0.25">
      <c r="A5" t="s">
        <v>41</v>
      </c>
      <c r="B5" t="s">
        <v>58</v>
      </c>
    </row>
    <row r="6" spans="1:2" x14ac:dyDescent="0.25">
      <c r="A6">
        <v>1938</v>
      </c>
      <c r="B6">
        <v>779975</v>
      </c>
    </row>
    <row r="7" spans="1:2" x14ac:dyDescent="0.25">
      <c r="A7" s="7">
        <v>16438</v>
      </c>
    </row>
    <row r="8" spans="1:2" x14ac:dyDescent="0.25">
      <c r="A8" s="7">
        <v>16469</v>
      </c>
    </row>
    <row r="9" spans="1:2" x14ac:dyDescent="0.25">
      <c r="A9" s="7">
        <v>16497</v>
      </c>
      <c r="B9" s="21"/>
    </row>
    <row r="10" spans="1:2" x14ac:dyDescent="0.25">
      <c r="A10" s="7">
        <v>16528</v>
      </c>
    </row>
    <row r="11" spans="1:2" x14ac:dyDescent="0.25">
      <c r="A11" s="7">
        <v>16558</v>
      </c>
    </row>
    <row r="12" spans="1:2" x14ac:dyDescent="0.25">
      <c r="A12" s="7">
        <v>16589</v>
      </c>
      <c r="B12">
        <v>337483</v>
      </c>
    </row>
    <row r="13" spans="1:2" x14ac:dyDescent="0.25">
      <c r="A13" s="7">
        <v>16619</v>
      </c>
      <c r="B13">
        <v>344827</v>
      </c>
    </row>
    <row r="14" spans="1:2" x14ac:dyDescent="0.25">
      <c r="A14" s="7">
        <v>16650</v>
      </c>
      <c r="B14">
        <v>405038</v>
      </c>
    </row>
    <row r="15" spans="1:2" x14ac:dyDescent="0.25">
      <c r="A15" s="7">
        <v>16681</v>
      </c>
      <c r="B15">
        <v>419068</v>
      </c>
    </row>
    <row r="16" spans="1:2" x14ac:dyDescent="0.25">
      <c r="A16" s="7">
        <v>16711</v>
      </c>
      <c r="B16">
        <v>440406</v>
      </c>
    </row>
    <row r="17" spans="1:2" x14ac:dyDescent="0.25">
      <c r="A17" s="7">
        <v>16742</v>
      </c>
      <c r="B17">
        <v>415771</v>
      </c>
    </row>
    <row r="18" spans="1:2" x14ac:dyDescent="0.25">
      <c r="A18" s="7">
        <v>16772</v>
      </c>
      <c r="B18">
        <v>411014</v>
      </c>
    </row>
    <row r="19" spans="1:2" x14ac:dyDescent="0.25">
      <c r="A19" s="7">
        <v>16803</v>
      </c>
      <c r="B19">
        <v>494866</v>
      </c>
    </row>
    <row r="20" spans="1:2" x14ac:dyDescent="0.25">
      <c r="A20" s="7">
        <v>16834</v>
      </c>
      <c r="B20">
        <v>485207</v>
      </c>
    </row>
    <row r="21" spans="1:2" x14ac:dyDescent="0.25">
      <c r="A21" s="7">
        <v>16862</v>
      </c>
      <c r="B21">
        <v>512895</v>
      </c>
    </row>
    <row r="22" spans="1:2" x14ac:dyDescent="0.25">
      <c r="A22" s="7">
        <v>16893</v>
      </c>
      <c r="B22">
        <v>497230</v>
      </c>
    </row>
    <row r="23" spans="1:2" x14ac:dyDescent="0.25">
      <c r="A23" s="7">
        <v>16923</v>
      </c>
      <c r="B23">
        <v>513361</v>
      </c>
    </row>
    <row r="24" spans="1:2" x14ac:dyDescent="0.25">
      <c r="A24" s="7">
        <v>16954</v>
      </c>
      <c r="B24">
        <v>439068</v>
      </c>
    </row>
    <row r="25" spans="1:2" x14ac:dyDescent="0.25">
      <c r="A25" s="7">
        <v>16984</v>
      </c>
      <c r="B25">
        <v>483668</v>
      </c>
    </row>
    <row r="26" spans="1:2" x14ac:dyDescent="0.25">
      <c r="A26" s="7">
        <v>17015</v>
      </c>
      <c r="B26">
        <v>525405</v>
      </c>
    </row>
    <row r="27" spans="1:2" x14ac:dyDescent="0.25">
      <c r="A27" s="7">
        <v>17046</v>
      </c>
      <c r="B27">
        <v>537807</v>
      </c>
    </row>
    <row r="28" spans="1:2" x14ac:dyDescent="0.25">
      <c r="A28" s="7">
        <v>17076</v>
      </c>
      <c r="B28">
        <v>647336</v>
      </c>
    </row>
    <row r="29" spans="1:2" x14ac:dyDescent="0.25">
      <c r="A29" s="7">
        <v>17107</v>
      </c>
      <c r="B29">
        <v>630205</v>
      </c>
    </row>
    <row r="30" spans="1:2" x14ac:dyDescent="0.25">
      <c r="A30" s="7">
        <v>17137</v>
      </c>
      <c r="B30">
        <v>607245</v>
      </c>
    </row>
    <row r="31" spans="1:2" x14ac:dyDescent="0.25">
      <c r="A31" s="7">
        <v>17168</v>
      </c>
      <c r="B31">
        <v>687208</v>
      </c>
    </row>
    <row r="32" spans="1:2" x14ac:dyDescent="0.25">
      <c r="A32" s="7">
        <v>17199</v>
      </c>
      <c r="B32">
        <v>673749</v>
      </c>
    </row>
    <row r="33" spans="1:2" x14ac:dyDescent="0.25">
      <c r="A33" s="7">
        <v>17227</v>
      </c>
      <c r="B33">
        <v>734711</v>
      </c>
    </row>
    <row r="34" spans="1:2" x14ac:dyDescent="0.25">
      <c r="A34" s="7">
        <v>17258</v>
      </c>
      <c r="B34">
        <v>722043</v>
      </c>
    </row>
    <row r="35" spans="1:2" x14ac:dyDescent="0.25">
      <c r="A35" s="7">
        <v>17288</v>
      </c>
      <c r="B35">
        <v>705418</v>
      </c>
    </row>
    <row r="36" spans="1:2" x14ac:dyDescent="0.25">
      <c r="A36" s="7">
        <v>17319</v>
      </c>
      <c r="B36">
        <v>703043</v>
      </c>
    </row>
    <row r="37" spans="1:2" x14ac:dyDescent="0.25">
      <c r="A37" s="7">
        <v>17349</v>
      </c>
      <c r="B37">
        <v>663457</v>
      </c>
    </row>
    <row r="38" spans="1:2" x14ac:dyDescent="0.25">
      <c r="A38" s="7">
        <v>17380</v>
      </c>
      <c r="B38">
        <v>692750</v>
      </c>
    </row>
    <row r="39" spans="1:2" x14ac:dyDescent="0.25">
      <c r="A39" s="7">
        <v>17411</v>
      </c>
      <c r="B39">
        <v>729961</v>
      </c>
    </row>
    <row r="40" spans="1:2" x14ac:dyDescent="0.25">
      <c r="A40" s="7">
        <v>17441</v>
      </c>
      <c r="B40">
        <v>759254</v>
      </c>
    </row>
    <row r="41" spans="1:2" x14ac:dyDescent="0.25">
      <c r="A41" s="7">
        <v>17472</v>
      </c>
      <c r="B41">
        <v>800424</v>
      </c>
    </row>
    <row r="42" spans="1:2" x14ac:dyDescent="0.25">
      <c r="A42" s="7">
        <v>17502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80" zoomScaleNormal="80" workbookViewId="0"/>
  </sheetViews>
  <sheetFormatPr defaultRowHeight="15" x14ac:dyDescent="0.25"/>
  <cols>
    <col min="1" max="1" width="13.5703125" customWidth="1"/>
    <col min="2" max="2" width="20.42578125" customWidth="1"/>
    <col min="9" max="9" width="14.42578125" customWidth="1"/>
  </cols>
  <sheetData>
    <row r="1" spans="1:9" x14ac:dyDescent="0.25">
      <c r="A1" t="s">
        <v>59</v>
      </c>
    </row>
    <row r="2" spans="1:9" x14ac:dyDescent="0.25">
      <c r="A2" t="s">
        <v>60</v>
      </c>
    </row>
    <row r="3" spans="1:9" x14ac:dyDescent="0.25">
      <c r="A3" t="s">
        <v>61</v>
      </c>
    </row>
    <row r="5" spans="1:9" x14ac:dyDescent="0.25">
      <c r="A5" t="s">
        <v>62</v>
      </c>
    </row>
    <row r="6" spans="1:9" x14ac:dyDescent="0.25">
      <c r="A6" t="s">
        <v>63</v>
      </c>
    </row>
    <row r="10" spans="1:9" ht="15.75" customHeight="1" x14ac:dyDescent="0.25"/>
    <row r="11" spans="1:9" ht="115.5" customHeight="1" x14ac:dyDescent="0.25">
      <c r="A11" s="80" t="s">
        <v>64</v>
      </c>
      <c r="B11" s="80"/>
      <c r="C11" s="80"/>
      <c r="D11" s="80"/>
      <c r="E11" s="80"/>
      <c r="F11" s="80"/>
      <c r="G11" s="80"/>
      <c r="H11" s="80"/>
      <c r="I11" s="80"/>
    </row>
    <row r="13" spans="1:9" x14ac:dyDescent="0.25">
      <c r="A13" t="s">
        <v>65</v>
      </c>
    </row>
    <row r="14" spans="1:9" x14ac:dyDescent="0.25">
      <c r="A14" t="s">
        <v>66</v>
      </c>
    </row>
    <row r="17" spans="1:2" x14ac:dyDescent="0.25">
      <c r="A17" t="s">
        <v>67</v>
      </c>
      <c r="B17" s="4">
        <v>300000000</v>
      </c>
    </row>
    <row r="18" spans="1:2" x14ac:dyDescent="0.25">
      <c r="A18" t="s">
        <v>68</v>
      </c>
      <c r="B18" s="4">
        <v>200000000</v>
      </c>
    </row>
    <row r="19" spans="1:2" ht="45" x14ac:dyDescent="0.25">
      <c r="A19" s="5" t="s">
        <v>69</v>
      </c>
      <c r="B19" s="4">
        <v>50000000</v>
      </c>
    </row>
    <row r="20" spans="1:2" x14ac:dyDescent="0.25">
      <c r="A20" t="s">
        <v>70</v>
      </c>
      <c r="B20" s="4">
        <v>50000000</v>
      </c>
    </row>
    <row r="21" spans="1:2" x14ac:dyDescent="0.25">
      <c r="B21" s="4"/>
    </row>
    <row r="22" spans="1:2" x14ac:dyDescent="0.25">
      <c r="A22" t="s">
        <v>71</v>
      </c>
      <c r="B22" s="4"/>
    </row>
    <row r="23" spans="1:2" ht="60" x14ac:dyDescent="0.25">
      <c r="A23" s="6" t="s">
        <v>72</v>
      </c>
      <c r="B23" s="4"/>
    </row>
  </sheetData>
  <mergeCells count="1">
    <mergeCell ref="A11:I11"/>
  </mergeCells>
  <hyperlinks>
    <hyperlink ref="A23"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zoomScale="80" zoomScaleNormal="80" workbookViewId="0">
      <selection sqref="A1:B1"/>
    </sheetView>
  </sheetViews>
  <sheetFormatPr defaultRowHeight="15" x14ac:dyDescent="0.25"/>
  <cols>
    <col min="1" max="1" width="14.28515625" customWidth="1"/>
    <col min="2" max="2" width="13" customWidth="1"/>
    <col min="4" max="4" width="16.28515625" customWidth="1"/>
    <col min="7" max="7" width="9.7109375" bestFit="1" customWidth="1"/>
  </cols>
  <sheetData>
    <row r="1" spans="1:17" ht="50.25" customHeight="1" x14ac:dyDescent="0.25">
      <c r="A1" s="79" t="s">
        <v>73</v>
      </c>
      <c r="B1" s="79"/>
      <c r="D1" s="79" t="s">
        <v>74</v>
      </c>
      <c r="E1" s="79"/>
      <c r="G1" s="79" t="s">
        <v>75</v>
      </c>
      <c r="H1" s="79"/>
      <c r="J1" s="80" t="s">
        <v>76</v>
      </c>
      <c r="K1" s="80"/>
      <c r="L1" s="80"/>
      <c r="M1" s="80"/>
      <c r="N1" s="80"/>
      <c r="O1" s="80"/>
      <c r="P1" s="80"/>
      <c r="Q1" s="80"/>
    </row>
    <row r="2" spans="1:17" x14ac:dyDescent="0.25">
      <c r="A2" t="s">
        <v>77</v>
      </c>
      <c r="B2" t="s">
        <v>78</v>
      </c>
      <c r="D2" s="8">
        <v>16569</v>
      </c>
      <c r="E2" t="s">
        <v>79</v>
      </c>
      <c r="G2" t="s">
        <v>41</v>
      </c>
      <c r="H2" t="s">
        <v>80</v>
      </c>
    </row>
    <row r="3" spans="1:17" x14ac:dyDescent="0.25">
      <c r="G3" s="1">
        <v>16440</v>
      </c>
      <c r="H3">
        <v>20</v>
      </c>
    </row>
    <row r="4" spans="1:17" x14ac:dyDescent="0.25">
      <c r="G4" s="1">
        <v>16438</v>
      </c>
      <c r="H4">
        <v>20</v>
      </c>
    </row>
    <row r="5" spans="1:17" x14ac:dyDescent="0.25">
      <c r="G5" s="1">
        <v>16442</v>
      </c>
      <c r="H5">
        <v>20</v>
      </c>
    </row>
    <row r="6" spans="1:17" x14ac:dyDescent="0.25">
      <c r="G6" s="1">
        <v>16443</v>
      </c>
      <c r="H6">
        <v>30</v>
      </c>
    </row>
    <row r="7" spans="1:17" ht="18" customHeight="1" x14ac:dyDescent="0.25">
      <c r="A7" s="80" t="s">
        <v>81</v>
      </c>
      <c r="B7" s="80"/>
      <c r="C7" s="80"/>
      <c r="D7" s="80"/>
      <c r="E7" s="80"/>
      <c r="G7" s="1">
        <v>16446</v>
      </c>
      <c r="H7">
        <v>20</v>
      </c>
    </row>
    <row r="8" spans="1:17" x14ac:dyDescent="0.25">
      <c r="G8" s="1">
        <v>16447</v>
      </c>
      <c r="H8">
        <v>20</v>
      </c>
    </row>
    <row r="9" spans="1:17" x14ac:dyDescent="0.25">
      <c r="G9" s="1">
        <v>16521</v>
      </c>
      <c r="H9">
        <v>30</v>
      </c>
    </row>
    <row r="11" spans="1:17" ht="42" customHeight="1" x14ac:dyDescent="0.25">
      <c r="G11" s="80" t="s">
        <v>82</v>
      </c>
      <c r="H11" s="80"/>
      <c r="I11" s="80"/>
      <c r="J11" s="80"/>
      <c r="K11" s="80"/>
      <c r="L11" s="80"/>
      <c r="M11" s="80"/>
      <c r="N11" s="80"/>
      <c r="O11" s="80"/>
      <c r="P11" s="80"/>
      <c r="Q11" s="80"/>
    </row>
  </sheetData>
  <mergeCells count="6">
    <mergeCell ref="G11:Q11"/>
    <mergeCell ref="J1:Q1"/>
    <mergeCell ref="D1:E1"/>
    <mergeCell ref="G1:H1"/>
    <mergeCell ref="A1:B1"/>
    <mergeCell ref="A7:E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80" zoomScaleNormal="80" workbookViewId="0"/>
  </sheetViews>
  <sheetFormatPr defaultRowHeight="15" x14ac:dyDescent="0.25"/>
  <cols>
    <col min="1" max="1" width="10.7109375" bestFit="1" customWidth="1"/>
  </cols>
  <sheetData>
    <row r="1" spans="1:4" x14ac:dyDescent="0.25">
      <c r="A1" t="s">
        <v>83</v>
      </c>
    </row>
    <row r="2" spans="1:4" x14ac:dyDescent="0.25">
      <c r="A2" t="s">
        <v>84</v>
      </c>
    </row>
    <row r="3" spans="1:4" x14ac:dyDescent="0.25">
      <c r="A3" t="s">
        <v>85</v>
      </c>
    </row>
    <row r="4" spans="1:4" x14ac:dyDescent="0.25">
      <c r="A4" t="s">
        <v>86</v>
      </c>
    </row>
    <row r="8" spans="1:4" x14ac:dyDescent="0.25">
      <c r="A8" t="s">
        <v>87</v>
      </c>
    </row>
    <row r="9" spans="1:4" x14ac:dyDescent="0.25">
      <c r="B9" t="s">
        <v>88</v>
      </c>
      <c r="C9" t="s">
        <v>89</v>
      </c>
      <c r="D9" t="s">
        <v>90</v>
      </c>
    </row>
    <row r="10" spans="1:4" x14ac:dyDescent="0.25">
      <c r="B10" t="s">
        <v>91</v>
      </c>
    </row>
    <row r="11" spans="1:4" x14ac:dyDescent="0.25">
      <c r="A11" s="1">
        <v>16828</v>
      </c>
      <c r="B11">
        <v>0.14000000000000001</v>
      </c>
      <c r="C11">
        <v>0.12</v>
      </c>
      <c r="D11">
        <v>0.12</v>
      </c>
    </row>
    <row r="12" spans="1:4" x14ac:dyDescent="0.25">
      <c r="A12" s="1">
        <v>16854</v>
      </c>
      <c r="B12">
        <v>0.5</v>
      </c>
      <c r="C12">
        <v>0.43</v>
      </c>
      <c r="D12">
        <v>0.43</v>
      </c>
    </row>
    <row r="13" spans="1:4" x14ac:dyDescent="0.25">
      <c r="A13" s="1">
        <v>16890</v>
      </c>
      <c r="B13">
        <v>4</v>
      </c>
      <c r="C13">
        <v>3.5</v>
      </c>
      <c r="D13">
        <v>3.5</v>
      </c>
    </row>
    <row r="14" spans="1:4" x14ac:dyDescent="0.25">
      <c r="A14" s="1">
        <v>16912</v>
      </c>
      <c r="B14">
        <v>40</v>
      </c>
      <c r="C14">
        <v>35</v>
      </c>
      <c r="D14">
        <v>35</v>
      </c>
    </row>
    <row r="15" spans="1:4" x14ac:dyDescent="0.25">
      <c r="A15" s="1">
        <v>16950</v>
      </c>
      <c r="B15">
        <v>80</v>
      </c>
      <c r="C15">
        <v>70</v>
      </c>
      <c r="D15">
        <v>70</v>
      </c>
    </row>
    <row r="16" spans="1:4" x14ac:dyDescent="0.25">
      <c r="A16" s="1">
        <v>16956</v>
      </c>
      <c r="B16">
        <v>160</v>
      </c>
      <c r="C16">
        <v>140</v>
      </c>
      <c r="D16">
        <v>140</v>
      </c>
    </row>
    <row r="17" spans="1:4" x14ac:dyDescent="0.25">
      <c r="A17" s="1">
        <v>16993</v>
      </c>
      <c r="B17">
        <v>450</v>
      </c>
      <c r="C17">
        <v>400</v>
      </c>
      <c r="D17">
        <v>400</v>
      </c>
    </row>
    <row r="18" spans="1:4" x14ac:dyDescent="0.25">
      <c r="A18" s="1">
        <v>17031</v>
      </c>
      <c r="B18">
        <v>1700</v>
      </c>
      <c r="C18">
        <v>1500</v>
      </c>
      <c r="D18">
        <v>1500</v>
      </c>
    </row>
    <row r="19" spans="1:4" x14ac:dyDescent="0.25">
      <c r="A19" s="1">
        <v>17069</v>
      </c>
      <c r="B19">
        <v>6000</v>
      </c>
      <c r="C19">
        <v>5400</v>
      </c>
      <c r="D19">
        <v>5400</v>
      </c>
    </row>
    <row r="20" spans="1:4" x14ac:dyDescent="0.25">
      <c r="A20" s="1">
        <v>17076</v>
      </c>
      <c r="B20">
        <v>28000</v>
      </c>
      <c r="C20">
        <v>25000</v>
      </c>
      <c r="D20">
        <v>25000</v>
      </c>
    </row>
    <row r="21" spans="1:4" x14ac:dyDescent="0.25">
      <c r="A21" s="1">
        <v>17113</v>
      </c>
      <c r="B21">
        <v>160000</v>
      </c>
      <c r="C21">
        <v>140000</v>
      </c>
      <c r="D21">
        <v>140000</v>
      </c>
    </row>
    <row r="22" spans="1:4" x14ac:dyDescent="0.25">
      <c r="A22" s="1">
        <v>17150</v>
      </c>
      <c r="B22">
        <v>1000000</v>
      </c>
      <c r="C22">
        <v>900000</v>
      </c>
      <c r="D22">
        <v>900000</v>
      </c>
    </row>
    <row r="26" spans="1:4" x14ac:dyDescent="0.25">
      <c r="A26" t="s">
        <v>92</v>
      </c>
    </row>
    <row r="28" spans="1:4" x14ac:dyDescent="0.25">
      <c r="A28" t="s">
        <v>93</v>
      </c>
    </row>
    <row r="29" spans="1:4" x14ac:dyDescent="0.25">
      <c r="B29" s="79" t="s">
        <v>94</v>
      </c>
      <c r="C29" s="79"/>
    </row>
    <row r="30" spans="1:4" x14ac:dyDescent="0.25">
      <c r="A30" s="38" t="s">
        <v>95</v>
      </c>
      <c r="B30" s="39">
        <v>1938</v>
      </c>
      <c r="C30" s="39">
        <v>1945</v>
      </c>
    </row>
    <row r="31" spans="1:4" x14ac:dyDescent="0.25">
      <c r="A31" s="5" t="s">
        <v>88</v>
      </c>
      <c r="B31">
        <v>2791.4</v>
      </c>
      <c r="C31">
        <v>1196.0999999999999</v>
      </c>
    </row>
    <row r="32" spans="1:4" x14ac:dyDescent="0.25">
      <c r="A32" s="5" t="s">
        <v>96</v>
      </c>
      <c r="B32">
        <v>1093.2</v>
      </c>
      <c r="C32">
        <v>586.29999999999995</v>
      </c>
    </row>
    <row r="33" spans="1:3" x14ac:dyDescent="0.25">
      <c r="A33" s="5" t="s">
        <v>89</v>
      </c>
      <c r="B33">
        <v>792.7</v>
      </c>
      <c r="C33">
        <v>886.3</v>
      </c>
    </row>
    <row r="34" spans="1:3" x14ac:dyDescent="0.25">
      <c r="A34" s="5" t="s">
        <v>97</v>
      </c>
      <c r="B34">
        <v>392</v>
      </c>
      <c r="C34">
        <v>356.2</v>
      </c>
    </row>
    <row r="35" spans="1:3" x14ac:dyDescent="0.25">
      <c r="A35" s="5" t="s">
        <v>98</v>
      </c>
      <c r="B35">
        <v>2042.8</v>
      </c>
      <c r="C35">
        <v>2283.1999999999998</v>
      </c>
    </row>
    <row r="36" spans="1:3" x14ac:dyDescent="0.25">
      <c r="A36" s="5" t="s">
        <v>99</v>
      </c>
      <c r="B36">
        <v>56</v>
      </c>
      <c r="C36">
        <v>597.1</v>
      </c>
    </row>
    <row r="37" spans="1:3" ht="30" x14ac:dyDescent="0.25">
      <c r="A37" s="5" t="s">
        <v>100</v>
      </c>
      <c r="B37">
        <v>77</v>
      </c>
      <c r="C37">
        <v>33.9</v>
      </c>
    </row>
    <row r="38" spans="1:3" ht="30" x14ac:dyDescent="0.25">
      <c r="A38" s="5" t="s">
        <v>101</v>
      </c>
      <c r="B38">
        <v>242.2</v>
      </c>
      <c r="C38">
        <v>221.6</v>
      </c>
    </row>
    <row r="39" spans="1:3" x14ac:dyDescent="0.25">
      <c r="A39" s="5" t="s">
        <v>102</v>
      </c>
      <c r="B39">
        <v>11.4</v>
      </c>
      <c r="C39">
        <v>237.8</v>
      </c>
    </row>
    <row r="40" spans="1:3" ht="30" x14ac:dyDescent="0.25">
      <c r="A40" s="5" t="s">
        <v>103</v>
      </c>
      <c r="B40">
        <v>261.7</v>
      </c>
      <c r="C40">
        <v>531</v>
      </c>
    </row>
    <row r="41" spans="1:3" x14ac:dyDescent="0.25">
      <c r="A41" s="5" t="s">
        <v>104</v>
      </c>
      <c r="B41">
        <v>23.4</v>
      </c>
      <c r="C41">
        <v>17.3</v>
      </c>
    </row>
  </sheetData>
  <mergeCells count="1">
    <mergeCell ref="B29:C2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zoomScale="80" zoomScaleNormal="80" workbookViewId="0"/>
  </sheetViews>
  <sheetFormatPr defaultRowHeight="15" x14ac:dyDescent="0.25"/>
  <cols>
    <col min="1" max="1" width="17.140625" customWidth="1"/>
    <col min="2" max="2" width="21.140625" customWidth="1"/>
    <col min="3" max="3" width="24.5703125" customWidth="1"/>
    <col min="4" max="4" width="19.85546875" customWidth="1"/>
    <col min="6" max="6" width="15.7109375" customWidth="1"/>
    <col min="7" max="7" width="10.7109375" bestFit="1" customWidth="1"/>
    <col min="8" max="8" width="28.140625" customWidth="1"/>
    <col min="9" max="9" width="27.140625" customWidth="1"/>
  </cols>
  <sheetData>
    <row r="1" spans="1:8" x14ac:dyDescent="0.25">
      <c r="A1" t="s">
        <v>105</v>
      </c>
    </row>
    <row r="2" spans="1:8" ht="37.5" customHeight="1" x14ac:dyDescent="0.25">
      <c r="A2" t="s">
        <v>106</v>
      </c>
      <c r="B2" s="5" t="s">
        <v>107</v>
      </c>
      <c r="C2" s="5" t="s">
        <v>108</v>
      </c>
      <c r="F2" t="s">
        <v>109</v>
      </c>
      <c r="G2" t="s">
        <v>110</v>
      </c>
    </row>
    <row r="3" spans="1:8" x14ac:dyDescent="0.25">
      <c r="A3" t="s">
        <v>111</v>
      </c>
      <c r="B3" t="s">
        <v>112</v>
      </c>
      <c r="C3" t="s">
        <v>113</v>
      </c>
      <c r="F3" t="s">
        <v>114</v>
      </c>
    </row>
    <row r="4" spans="1:8" x14ac:dyDescent="0.25">
      <c r="A4" s="7">
        <v>17168</v>
      </c>
      <c r="B4">
        <v>139</v>
      </c>
      <c r="C4">
        <v>207</v>
      </c>
      <c r="G4" t="s">
        <v>115</v>
      </c>
      <c r="H4" t="s">
        <v>116</v>
      </c>
    </row>
    <row r="5" spans="1:8" x14ac:dyDescent="0.25">
      <c r="A5" s="7">
        <v>17199</v>
      </c>
      <c r="B5">
        <v>113</v>
      </c>
      <c r="C5">
        <v>184</v>
      </c>
      <c r="F5" t="s">
        <v>117</v>
      </c>
      <c r="G5">
        <v>43.3</v>
      </c>
      <c r="H5">
        <v>53.2</v>
      </c>
    </row>
    <row r="6" spans="1:8" x14ac:dyDescent="0.25">
      <c r="A6" s="7">
        <v>17227</v>
      </c>
      <c r="B6">
        <v>160</v>
      </c>
      <c r="C6">
        <v>222</v>
      </c>
      <c r="F6" t="s">
        <v>118</v>
      </c>
      <c r="G6">
        <v>49.1</v>
      </c>
      <c r="H6">
        <v>59.2</v>
      </c>
    </row>
    <row r="7" spans="1:8" x14ac:dyDescent="0.25">
      <c r="A7" s="7">
        <v>17258</v>
      </c>
      <c r="B7">
        <v>175</v>
      </c>
      <c r="C7">
        <v>223</v>
      </c>
      <c r="F7" t="s">
        <v>119</v>
      </c>
      <c r="G7">
        <v>40</v>
      </c>
      <c r="H7">
        <v>58</v>
      </c>
    </row>
    <row r="8" spans="1:8" x14ac:dyDescent="0.25">
      <c r="A8" s="7">
        <v>17288</v>
      </c>
      <c r="B8">
        <v>187</v>
      </c>
      <c r="C8">
        <v>244</v>
      </c>
      <c r="F8" t="s">
        <v>120</v>
      </c>
      <c r="G8">
        <v>60</v>
      </c>
      <c r="H8">
        <v>66</v>
      </c>
    </row>
    <row r="9" spans="1:8" x14ac:dyDescent="0.25">
      <c r="A9" s="7">
        <v>17319</v>
      </c>
      <c r="B9">
        <v>196</v>
      </c>
      <c r="C9">
        <v>281</v>
      </c>
      <c r="F9" t="s">
        <v>121</v>
      </c>
      <c r="G9">
        <v>40</v>
      </c>
      <c r="H9">
        <v>52.1</v>
      </c>
    </row>
    <row r="10" spans="1:8" x14ac:dyDescent="0.25">
      <c r="F10" t="s">
        <v>122</v>
      </c>
      <c r="G10">
        <v>90</v>
      </c>
      <c r="H10">
        <v>91.8</v>
      </c>
    </row>
    <row r="11" spans="1:8" x14ac:dyDescent="0.25">
      <c r="F11" t="s">
        <v>123</v>
      </c>
      <c r="G11">
        <v>48.9</v>
      </c>
      <c r="H11">
        <v>60.5</v>
      </c>
    </row>
    <row r="12" spans="1:8" x14ac:dyDescent="0.25">
      <c r="A12" s="79" t="s">
        <v>124</v>
      </c>
      <c r="B12" s="79"/>
      <c r="C12" s="79"/>
      <c r="D12" s="79"/>
      <c r="E12" s="79"/>
      <c r="F12" s="79"/>
    </row>
    <row r="13" spans="1:8" x14ac:dyDescent="0.25">
      <c r="A13" s="79" t="s">
        <v>125</v>
      </c>
      <c r="B13" s="79"/>
      <c r="C13" s="79"/>
      <c r="D13" s="79"/>
      <c r="E13" s="79"/>
      <c r="F13" s="79"/>
    </row>
    <row r="14" spans="1:8" x14ac:dyDescent="0.25">
      <c r="A14" t="s">
        <v>41</v>
      </c>
      <c r="B14" t="s">
        <v>126</v>
      </c>
      <c r="C14" t="s">
        <v>127</v>
      </c>
      <c r="D14" t="s">
        <v>128</v>
      </c>
      <c r="E14" t="s">
        <v>129</v>
      </c>
      <c r="F14" t="s">
        <v>130</v>
      </c>
    </row>
    <row r="15" spans="1:8" x14ac:dyDescent="0.25">
      <c r="A15" s="9">
        <v>16776</v>
      </c>
      <c r="B15">
        <v>269</v>
      </c>
      <c r="C15">
        <v>189</v>
      </c>
      <c r="D15">
        <v>186</v>
      </c>
      <c r="E15">
        <v>9</v>
      </c>
      <c r="F15">
        <v>224</v>
      </c>
    </row>
    <row r="16" spans="1:8" x14ac:dyDescent="0.25">
      <c r="A16" s="1">
        <v>16783</v>
      </c>
      <c r="B16">
        <v>443</v>
      </c>
      <c r="C16">
        <v>263</v>
      </c>
      <c r="D16">
        <v>240</v>
      </c>
      <c r="E16">
        <v>9</v>
      </c>
      <c r="F16">
        <v>353</v>
      </c>
    </row>
    <row r="17" spans="1:6" x14ac:dyDescent="0.25">
      <c r="A17" s="1">
        <v>16790</v>
      </c>
      <c r="B17">
        <v>719</v>
      </c>
      <c r="C17">
        <v>327</v>
      </c>
      <c r="D17">
        <v>282</v>
      </c>
      <c r="E17">
        <v>20</v>
      </c>
      <c r="F17">
        <v>555</v>
      </c>
    </row>
    <row r="18" spans="1:6" x14ac:dyDescent="0.25">
      <c r="A18" s="1">
        <v>16798</v>
      </c>
      <c r="B18">
        <v>350</v>
      </c>
      <c r="C18">
        <v>266</v>
      </c>
      <c r="D18">
        <v>232</v>
      </c>
      <c r="E18">
        <v>20</v>
      </c>
      <c r="F18">
        <v>302</v>
      </c>
    </row>
    <row r="19" spans="1:6" x14ac:dyDescent="0.25">
      <c r="A19" s="9">
        <v>16804</v>
      </c>
      <c r="B19">
        <v>593</v>
      </c>
      <c r="C19">
        <v>266</v>
      </c>
      <c r="D19">
        <v>2820</v>
      </c>
      <c r="E19">
        <v>126</v>
      </c>
      <c r="F19">
        <v>463</v>
      </c>
    </row>
    <row r="22" spans="1:6" x14ac:dyDescent="0.25">
      <c r="A22" t="s">
        <v>131</v>
      </c>
      <c r="B22" t="s">
        <v>132</v>
      </c>
    </row>
    <row r="23" spans="1:6" x14ac:dyDescent="0.25">
      <c r="B23" t="s">
        <v>133</v>
      </c>
    </row>
    <row r="24" spans="1:6" x14ac:dyDescent="0.25">
      <c r="B24" t="s">
        <v>134</v>
      </c>
      <c r="C24" t="s">
        <v>135</v>
      </c>
      <c r="D24" t="s">
        <v>136</v>
      </c>
    </row>
    <row r="25" spans="1:6" x14ac:dyDescent="0.25">
      <c r="A25" t="s">
        <v>137</v>
      </c>
      <c r="B25">
        <v>1882</v>
      </c>
      <c r="C25">
        <v>1070</v>
      </c>
      <c r="D25">
        <v>43.2</v>
      </c>
    </row>
    <row r="26" spans="1:6" x14ac:dyDescent="0.25">
      <c r="A26" t="s">
        <v>138</v>
      </c>
      <c r="B26">
        <v>814</v>
      </c>
      <c r="C26">
        <v>329</v>
      </c>
      <c r="D26">
        <v>59.6</v>
      </c>
    </row>
    <row r="27" spans="1:6" x14ac:dyDescent="0.25">
      <c r="A27" t="s">
        <v>139</v>
      </c>
      <c r="B27">
        <v>3110</v>
      </c>
      <c r="C27">
        <v>1114</v>
      </c>
      <c r="D27">
        <v>64.2</v>
      </c>
    </row>
    <row r="28" spans="1:6" x14ac:dyDescent="0.25">
      <c r="A28" t="s">
        <v>140</v>
      </c>
      <c r="B28">
        <v>1629</v>
      </c>
      <c r="C28">
        <v>328</v>
      </c>
      <c r="D28">
        <v>79.8</v>
      </c>
    </row>
    <row r="30" spans="1:6" x14ac:dyDescent="0.25">
      <c r="A30" t="s">
        <v>141</v>
      </c>
    </row>
    <row r="31" spans="1:6" x14ac:dyDescent="0.25">
      <c r="A31" t="s">
        <v>142</v>
      </c>
    </row>
    <row r="32" spans="1:6" x14ac:dyDescent="0.25">
      <c r="B32" t="s">
        <v>143</v>
      </c>
      <c r="C32">
        <v>1945</v>
      </c>
      <c r="D32">
        <v>1946</v>
      </c>
    </row>
    <row r="33" spans="1:12" x14ac:dyDescent="0.25">
      <c r="A33" t="s">
        <v>88</v>
      </c>
      <c r="B33">
        <v>22.196000000000002</v>
      </c>
      <c r="C33">
        <v>6.5780000000000003</v>
      </c>
      <c r="D33">
        <v>9.8580000000000005</v>
      </c>
    </row>
    <row r="34" spans="1:12" x14ac:dyDescent="0.25">
      <c r="A34" t="s">
        <v>96</v>
      </c>
      <c r="B34">
        <v>6.9669999999999996</v>
      </c>
      <c r="C34">
        <v>3.036</v>
      </c>
      <c r="D34">
        <v>3.7109999999999999</v>
      </c>
      <c r="G34" t="s">
        <v>144</v>
      </c>
    </row>
    <row r="35" spans="1:12" x14ac:dyDescent="0.25">
      <c r="A35" t="s">
        <v>89</v>
      </c>
      <c r="B35">
        <v>6.0970000000000004</v>
      </c>
      <c r="C35">
        <v>4.4219999999999997</v>
      </c>
      <c r="D35">
        <v>1.7150000000000001</v>
      </c>
      <c r="G35" t="s">
        <v>145</v>
      </c>
    </row>
    <row r="36" spans="1:12" x14ac:dyDescent="0.25">
      <c r="A36" t="s">
        <v>146</v>
      </c>
      <c r="B36">
        <v>2.6960000000000002</v>
      </c>
      <c r="C36">
        <v>1.7090000000000001</v>
      </c>
      <c r="D36">
        <v>13.959</v>
      </c>
      <c r="H36" s="5" t="s">
        <v>147</v>
      </c>
      <c r="I36" t="s">
        <v>148</v>
      </c>
      <c r="J36" t="s">
        <v>149</v>
      </c>
    </row>
    <row r="37" spans="1:12" x14ac:dyDescent="0.25">
      <c r="A37" t="s">
        <v>98</v>
      </c>
      <c r="B37">
        <v>23.061</v>
      </c>
      <c r="C37">
        <v>18.710999999999999</v>
      </c>
      <c r="D37">
        <v>12.656000000000001</v>
      </c>
      <c r="G37" s="1">
        <v>16802</v>
      </c>
      <c r="H37">
        <v>1256.3</v>
      </c>
      <c r="I37">
        <v>12599.1</v>
      </c>
    </row>
    <row r="38" spans="1:12" x14ac:dyDescent="0.25">
      <c r="A38" t="s">
        <v>150</v>
      </c>
      <c r="B38">
        <v>21.324999999999999</v>
      </c>
      <c r="C38">
        <v>16.908000000000001</v>
      </c>
      <c r="D38">
        <v>4.78</v>
      </c>
      <c r="G38" s="1">
        <v>16809</v>
      </c>
      <c r="H38">
        <v>1300</v>
      </c>
      <c r="I38">
        <v>14816</v>
      </c>
      <c r="L38" t="s">
        <v>151</v>
      </c>
    </row>
    <row r="39" spans="1:12" x14ac:dyDescent="0.25">
      <c r="A39" t="s">
        <v>152</v>
      </c>
      <c r="B39">
        <v>9.5950000000000006</v>
      </c>
      <c r="C39">
        <v>1.7749999999999999</v>
      </c>
      <c r="D39">
        <v>149</v>
      </c>
      <c r="G39" s="1">
        <v>16817</v>
      </c>
      <c r="H39">
        <v>1465</v>
      </c>
      <c r="I39">
        <v>14651</v>
      </c>
      <c r="L39" s="33">
        <f>CORREL(H37:H64,I37:I64)</f>
        <v>0.99999999999939615</v>
      </c>
    </row>
    <row r="40" spans="1:12" x14ac:dyDescent="0.25">
      <c r="A40" t="s">
        <v>104</v>
      </c>
      <c r="B40">
        <v>205</v>
      </c>
      <c r="C40">
        <v>80</v>
      </c>
      <c r="D40">
        <v>1.895</v>
      </c>
      <c r="G40" s="1">
        <v>16825</v>
      </c>
      <c r="H40">
        <v>2189</v>
      </c>
      <c r="I40">
        <v>15453</v>
      </c>
    </row>
    <row r="41" spans="1:12" x14ac:dyDescent="0.25">
      <c r="A41" t="s">
        <v>102</v>
      </c>
      <c r="B41">
        <v>206</v>
      </c>
      <c r="C41">
        <v>1.272</v>
      </c>
      <c r="G41" s="1">
        <v>16833</v>
      </c>
      <c r="H41">
        <v>2430</v>
      </c>
      <c r="I41">
        <v>16399</v>
      </c>
    </row>
    <row r="42" spans="1:12" x14ac:dyDescent="0.25">
      <c r="G42" s="1">
        <v>16840</v>
      </c>
      <c r="H42">
        <v>3981</v>
      </c>
      <c r="I42">
        <v>24097</v>
      </c>
    </row>
    <row r="43" spans="1:12" x14ac:dyDescent="0.25">
      <c r="A43" t="s">
        <v>153</v>
      </c>
      <c r="G43" s="1">
        <v>16848</v>
      </c>
      <c r="H43">
        <v>5934</v>
      </c>
      <c r="I43">
        <v>29470</v>
      </c>
    </row>
    <row r="44" spans="1:12" x14ac:dyDescent="0.25">
      <c r="B44">
        <v>1938</v>
      </c>
      <c r="C44" t="s">
        <v>154</v>
      </c>
      <c r="D44" t="s">
        <v>155</v>
      </c>
      <c r="G44" s="1">
        <v>16856</v>
      </c>
      <c r="H44">
        <v>10094</v>
      </c>
      <c r="I44">
        <v>70435</v>
      </c>
    </row>
    <row r="45" spans="1:12" x14ac:dyDescent="0.25">
      <c r="A45" t="s">
        <v>156</v>
      </c>
      <c r="B45">
        <v>868</v>
      </c>
      <c r="C45">
        <v>569</v>
      </c>
      <c r="D45">
        <v>560</v>
      </c>
      <c r="E45" s="21">
        <f>(C45-B45)/B45</f>
        <v>-0.34447004608294929</v>
      </c>
      <c r="G45" s="1">
        <v>16861</v>
      </c>
      <c r="H45">
        <v>14519</v>
      </c>
      <c r="I45">
        <v>97226</v>
      </c>
    </row>
    <row r="46" spans="1:12" x14ac:dyDescent="0.25">
      <c r="A46" t="s">
        <v>157</v>
      </c>
      <c r="B46">
        <v>6.9210000000000003</v>
      </c>
      <c r="C46">
        <v>3.5419999999999998</v>
      </c>
      <c r="D46">
        <v>4.343</v>
      </c>
      <c r="E46" s="21">
        <f t="shared" ref="E46:E51" si="0">(C46-B46)/B46</f>
        <v>-0.48822424505129319</v>
      </c>
      <c r="G46" s="1">
        <v>16868</v>
      </c>
      <c r="H46">
        <v>18342</v>
      </c>
      <c r="I46">
        <v>144401</v>
      </c>
    </row>
    <row r="47" spans="1:12" x14ac:dyDescent="0.25">
      <c r="A47" t="s">
        <v>158</v>
      </c>
      <c r="B47">
        <v>248</v>
      </c>
      <c r="C47">
        <v>59</v>
      </c>
      <c r="D47">
        <v>81</v>
      </c>
      <c r="E47" s="21">
        <f t="shared" si="0"/>
        <v>-0.76209677419354838</v>
      </c>
      <c r="G47" s="1">
        <v>16876</v>
      </c>
      <c r="H47">
        <v>33752</v>
      </c>
      <c r="I47">
        <v>167534</v>
      </c>
    </row>
    <row r="48" spans="1:12" x14ac:dyDescent="0.25">
      <c r="A48" t="s">
        <v>159</v>
      </c>
      <c r="B48">
        <v>450</v>
      </c>
      <c r="C48">
        <v>30</v>
      </c>
      <c r="D48">
        <v>41</v>
      </c>
      <c r="E48" s="21">
        <f t="shared" si="0"/>
        <v>-0.93333333333333335</v>
      </c>
      <c r="G48" s="1">
        <v>16884</v>
      </c>
      <c r="H48">
        <v>51257</v>
      </c>
      <c r="I48">
        <v>247299</v>
      </c>
    </row>
    <row r="49" spans="1:9" x14ac:dyDescent="0.25">
      <c r="A49" t="s">
        <v>160</v>
      </c>
      <c r="B49">
        <v>36</v>
      </c>
      <c r="C49">
        <v>592</v>
      </c>
      <c r="D49">
        <v>577</v>
      </c>
      <c r="E49" s="21">
        <f t="shared" si="0"/>
        <v>15.444444444444445</v>
      </c>
      <c r="G49" s="1">
        <v>16892</v>
      </c>
      <c r="H49">
        <v>74158</v>
      </c>
      <c r="I49">
        <v>355482</v>
      </c>
    </row>
    <row r="50" spans="1:9" ht="30" x14ac:dyDescent="0.25">
      <c r="A50" s="5" t="s">
        <v>161</v>
      </c>
      <c r="B50">
        <v>675</v>
      </c>
      <c r="C50">
        <v>6.7089999999999996</v>
      </c>
      <c r="D50">
        <v>7.8479999999999999</v>
      </c>
      <c r="E50" s="21">
        <f t="shared" si="0"/>
        <v>-0.9900607407407408</v>
      </c>
      <c r="G50" s="1">
        <v>16899</v>
      </c>
      <c r="H50">
        <v>101967</v>
      </c>
      <c r="I50">
        <v>701909</v>
      </c>
    </row>
    <row r="51" spans="1:9" x14ac:dyDescent="0.25">
      <c r="A51" t="s">
        <v>162</v>
      </c>
      <c r="B51">
        <v>279</v>
      </c>
      <c r="C51">
        <v>13</v>
      </c>
      <c r="D51">
        <v>82</v>
      </c>
      <c r="E51" s="21">
        <f t="shared" si="0"/>
        <v>-0.95340501792114696</v>
      </c>
      <c r="G51" s="1">
        <v>16907</v>
      </c>
      <c r="H51">
        <v>262447</v>
      </c>
      <c r="I51">
        <v>1485900</v>
      </c>
    </row>
    <row r="52" spans="1:9" x14ac:dyDescent="0.25">
      <c r="G52" s="1">
        <v>16915</v>
      </c>
      <c r="H52">
        <v>615487</v>
      </c>
      <c r="I52">
        <f>3.58*10^6</f>
        <v>3580000</v>
      </c>
    </row>
    <row r="53" spans="1:9" x14ac:dyDescent="0.25">
      <c r="A53" t="s">
        <v>163</v>
      </c>
      <c r="G53" s="1">
        <v>16922</v>
      </c>
      <c r="H53">
        <f>1.37*1000000</f>
        <v>1370000</v>
      </c>
      <c r="I53">
        <f>8.34*10^6</f>
        <v>8340000</v>
      </c>
    </row>
    <row r="54" spans="1:9" x14ac:dyDescent="0.25">
      <c r="A54" t="s">
        <v>164</v>
      </c>
      <c r="G54" s="1">
        <v>16929</v>
      </c>
      <c r="H54">
        <v>3300000</v>
      </c>
      <c r="I54">
        <v>22200000</v>
      </c>
    </row>
    <row r="55" spans="1:9" x14ac:dyDescent="0.25">
      <c r="B55" t="s">
        <v>165</v>
      </c>
      <c r="C55" t="s">
        <v>166</v>
      </c>
      <c r="D55" t="s">
        <v>167</v>
      </c>
      <c r="G55" s="1">
        <v>16937</v>
      </c>
      <c r="H55">
        <f>10.6*1000000</f>
        <v>10600000</v>
      </c>
      <c r="I55">
        <v>75300000</v>
      </c>
    </row>
    <row r="56" spans="1:9" x14ac:dyDescent="0.25">
      <c r="A56" t="s">
        <v>168</v>
      </c>
      <c r="B56">
        <v>1745</v>
      </c>
      <c r="C56">
        <v>755</v>
      </c>
      <c r="D56">
        <v>928</v>
      </c>
      <c r="G56" s="1">
        <v>16945</v>
      </c>
      <c r="H56">
        <v>44300000</v>
      </c>
      <c r="I56">
        <v>488200000</v>
      </c>
    </row>
    <row r="57" spans="1:9" x14ac:dyDescent="0.25">
      <c r="A57" t="s">
        <v>118</v>
      </c>
      <c r="B57">
        <v>106</v>
      </c>
      <c r="C57">
        <v>52</v>
      </c>
      <c r="D57">
        <v>84</v>
      </c>
      <c r="G57" s="1">
        <v>16953</v>
      </c>
      <c r="H57">
        <v>294000000</v>
      </c>
      <c r="I57">
        <v>3167000000</v>
      </c>
    </row>
    <row r="58" spans="1:9" x14ac:dyDescent="0.25">
      <c r="A58" t="s">
        <v>169</v>
      </c>
      <c r="B58">
        <v>1242</v>
      </c>
      <c r="C58">
        <v>497</v>
      </c>
      <c r="D58">
        <v>720</v>
      </c>
      <c r="G58" s="1">
        <v>16960</v>
      </c>
      <c r="H58">
        <f>1947*1000000</f>
        <v>1947000000</v>
      </c>
      <c r="I58">
        <v>21704000000</v>
      </c>
    </row>
    <row r="59" spans="1:9" x14ac:dyDescent="0.25">
      <c r="A59" t="s">
        <v>170</v>
      </c>
      <c r="B59">
        <v>598</v>
      </c>
      <c r="C59">
        <v>359</v>
      </c>
      <c r="D59">
        <v>395</v>
      </c>
      <c r="G59" s="1">
        <v>16968</v>
      </c>
      <c r="H59">
        <v>18559000000</v>
      </c>
      <c r="I59">
        <v>238958000000</v>
      </c>
    </row>
    <row r="60" spans="1:9" x14ac:dyDescent="0.25">
      <c r="A60" t="s">
        <v>121</v>
      </c>
      <c r="B60">
        <v>463</v>
      </c>
      <c r="C60">
        <v>185</v>
      </c>
      <c r="D60">
        <v>241</v>
      </c>
      <c r="G60" s="1">
        <v>16976</v>
      </c>
      <c r="H60" s="18">
        <v>339914000000</v>
      </c>
      <c r="I60">
        <v>5704948000000</v>
      </c>
    </row>
    <row r="61" spans="1:9" x14ac:dyDescent="0.25">
      <c r="A61" t="s">
        <v>171</v>
      </c>
      <c r="B61">
        <v>451</v>
      </c>
      <c r="C61">
        <v>406</v>
      </c>
      <c r="D61">
        <v>414</v>
      </c>
      <c r="G61" s="1">
        <v>16983</v>
      </c>
      <c r="H61">
        <v>61624000000000</v>
      </c>
      <c r="I61">
        <v>953400000000000</v>
      </c>
    </row>
    <row r="62" spans="1:9" x14ac:dyDescent="0.25">
      <c r="A62" t="s">
        <v>123</v>
      </c>
      <c r="B62">
        <v>587</v>
      </c>
      <c r="C62">
        <v>287</v>
      </c>
      <c r="D62">
        <v>355</v>
      </c>
      <c r="G62" s="1">
        <v>16990</v>
      </c>
      <c r="H62">
        <v>2.8257E+16</v>
      </c>
      <c r="I62">
        <v>1.021234E+18</v>
      </c>
    </row>
    <row r="63" spans="1:9" x14ac:dyDescent="0.25">
      <c r="G63" s="1">
        <v>16998</v>
      </c>
      <c r="H63">
        <v>8.39E+20</v>
      </c>
      <c r="I63">
        <v>4.124E+21</v>
      </c>
    </row>
    <row r="64" spans="1:9" x14ac:dyDescent="0.25">
      <c r="A64" t="s">
        <v>67</v>
      </c>
      <c r="B64">
        <v>5192</v>
      </c>
      <c r="C64">
        <v>2541</v>
      </c>
      <c r="D64">
        <v>3137</v>
      </c>
      <c r="G64" s="1">
        <v>17006</v>
      </c>
      <c r="H64">
        <f>357*10^24</f>
        <v>3.5699999999999999E+26</v>
      </c>
      <c r="I64">
        <f>3298*10^24</f>
        <v>3.2980000000000002E+27</v>
      </c>
    </row>
    <row r="65" spans="7:7" x14ac:dyDescent="0.25">
      <c r="G65" s="1"/>
    </row>
  </sheetData>
  <mergeCells count="2">
    <mergeCell ref="A12:F12"/>
    <mergeCell ref="A13:F1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zoomScale="80" zoomScaleNormal="80" workbookViewId="0">
      <selection sqref="A1:H1"/>
    </sheetView>
  </sheetViews>
  <sheetFormatPr defaultRowHeight="15" x14ac:dyDescent="0.25"/>
  <cols>
    <col min="1" max="1" width="17.28515625" customWidth="1"/>
    <col min="2" max="2" width="16.7109375" customWidth="1"/>
    <col min="3" max="3" width="16.5703125" customWidth="1"/>
    <col min="4" max="4" width="16.7109375" customWidth="1"/>
    <col min="5" max="5" width="16.28515625" bestFit="1" customWidth="1"/>
    <col min="6" max="6" width="10.85546875" customWidth="1"/>
    <col min="7" max="7" width="11" customWidth="1"/>
    <col min="8" max="8" width="25.5703125" customWidth="1"/>
    <col min="9" max="9" width="54.140625" customWidth="1"/>
  </cols>
  <sheetData>
    <row r="1" spans="1:8" x14ac:dyDescent="0.25">
      <c r="A1" s="81" t="s">
        <v>172</v>
      </c>
      <c r="B1" s="81"/>
      <c r="C1" s="81"/>
      <c r="D1" s="81"/>
      <c r="E1" s="81"/>
      <c r="F1" s="81"/>
      <c r="G1" s="81"/>
      <c r="H1" s="81"/>
    </row>
    <row r="2" spans="1:8" x14ac:dyDescent="0.25">
      <c r="A2" s="82" t="s">
        <v>173</v>
      </c>
      <c r="B2" s="82"/>
      <c r="C2" s="82"/>
      <c r="D2" s="82"/>
      <c r="E2" s="82"/>
      <c r="F2" s="82"/>
      <c r="G2" s="82"/>
      <c r="H2" s="11"/>
    </row>
    <row r="3" spans="1:8" x14ac:dyDescent="0.25">
      <c r="A3" s="12">
        <v>1945</v>
      </c>
      <c r="B3" s="12"/>
      <c r="C3" s="12"/>
      <c r="D3" s="12"/>
      <c r="E3" s="12"/>
      <c r="F3" s="12"/>
      <c r="G3" s="12"/>
      <c r="H3" s="12"/>
    </row>
    <row r="4" spans="1:8" x14ac:dyDescent="0.25">
      <c r="A4" s="12" t="s">
        <v>174</v>
      </c>
      <c r="B4" s="12">
        <v>54</v>
      </c>
      <c r="C4" s="12"/>
      <c r="D4" s="12"/>
      <c r="E4" s="12"/>
      <c r="F4" s="12"/>
      <c r="G4" s="12"/>
      <c r="H4" s="12"/>
    </row>
    <row r="5" spans="1:8" x14ac:dyDescent="0.25">
      <c r="A5" s="12" t="s">
        <v>175</v>
      </c>
      <c r="B5" s="12">
        <v>40</v>
      </c>
      <c r="C5" s="12"/>
      <c r="D5" s="12"/>
      <c r="E5" s="12"/>
      <c r="F5" s="12"/>
      <c r="G5" s="12"/>
      <c r="H5" s="12"/>
    </row>
    <row r="6" spans="1:8" x14ac:dyDescent="0.25">
      <c r="A6" s="12" t="s">
        <v>176</v>
      </c>
      <c r="B6" s="12">
        <v>39</v>
      </c>
      <c r="C6" s="12"/>
      <c r="D6" s="12"/>
      <c r="E6" s="12"/>
      <c r="F6" s="12"/>
      <c r="G6" s="12"/>
      <c r="H6" s="12"/>
    </row>
    <row r="7" spans="1:8" x14ac:dyDescent="0.25">
      <c r="A7" s="12" t="s">
        <v>177</v>
      </c>
      <c r="B7" s="12">
        <v>26</v>
      </c>
      <c r="C7" s="12"/>
      <c r="D7" s="12"/>
      <c r="E7" s="12"/>
      <c r="F7" s="12"/>
      <c r="G7" s="12"/>
      <c r="H7" s="12"/>
    </row>
    <row r="8" spans="1:8" x14ac:dyDescent="0.25">
      <c r="A8" s="12" t="s">
        <v>178</v>
      </c>
      <c r="B8" s="12">
        <v>13.8</v>
      </c>
      <c r="C8" s="12"/>
      <c r="D8" s="12"/>
      <c r="E8" s="12"/>
      <c r="F8" s="12"/>
      <c r="G8" s="12"/>
      <c r="H8" s="12"/>
    </row>
    <row r="9" spans="1:8" x14ac:dyDescent="0.25">
      <c r="A9" s="12">
        <v>1946</v>
      </c>
      <c r="B9" s="12"/>
      <c r="C9" s="12"/>
      <c r="D9" s="12"/>
      <c r="E9" s="12"/>
      <c r="F9" s="12"/>
      <c r="G9" s="12"/>
      <c r="H9" s="12"/>
    </row>
    <row r="10" spans="1:8" x14ac:dyDescent="0.25">
      <c r="A10" s="12" t="s">
        <v>179</v>
      </c>
      <c r="B10" s="12">
        <v>15.4</v>
      </c>
      <c r="C10" s="12"/>
      <c r="D10" s="12"/>
      <c r="E10" s="12"/>
      <c r="F10" s="12"/>
      <c r="G10" s="12"/>
      <c r="H10" s="12"/>
    </row>
    <row r="11" spans="1:8" x14ac:dyDescent="0.25">
      <c r="A11" s="12" t="s">
        <v>180</v>
      </c>
      <c r="B11" s="12">
        <v>36.6</v>
      </c>
      <c r="C11" s="12"/>
      <c r="D11" s="12"/>
      <c r="E11" s="12"/>
      <c r="F11" s="12"/>
      <c r="G11" s="12"/>
      <c r="H11" s="12"/>
    </row>
    <row r="12" spans="1:8" x14ac:dyDescent="0.25">
      <c r="A12" s="12" t="s">
        <v>181</v>
      </c>
      <c r="B12" s="12">
        <v>29.2</v>
      </c>
      <c r="C12" s="12"/>
      <c r="D12" s="12"/>
      <c r="E12" s="12"/>
      <c r="F12" s="12"/>
      <c r="G12" s="12"/>
      <c r="H12" s="12"/>
    </row>
    <row r="13" spans="1:8" x14ac:dyDescent="0.25">
      <c r="A13" s="12" t="s">
        <v>182</v>
      </c>
      <c r="B13" s="12">
        <v>24.6</v>
      </c>
      <c r="C13" s="12"/>
      <c r="D13" s="12"/>
      <c r="E13" s="12"/>
      <c r="F13" s="12"/>
      <c r="G13" s="12"/>
      <c r="H13" s="12"/>
    </row>
    <row r="14" spans="1:8" x14ac:dyDescent="0.25">
      <c r="A14" s="12" t="s">
        <v>50</v>
      </c>
      <c r="B14" s="12">
        <v>30.4</v>
      </c>
      <c r="C14" s="12"/>
      <c r="D14" s="12"/>
      <c r="E14" s="12"/>
      <c r="F14" s="12"/>
      <c r="G14" s="12"/>
      <c r="H14" s="12"/>
    </row>
    <row r="15" spans="1:8" x14ac:dyDescent="0.25">
      <c r="A15" s="12" t="s">
        <v>183</v>
      </c>
      <c r="B15" s="12">
        <v>18.2</v>
      </c>
      <c r="C15" s="12"/>
      <c r="D15" s="12"/>
      <c r="E15" s="12"/>
      <c r="F15" s="12"/>
      <c r="G15" s="12"/>
      <c r="H15" s="12"/>
    </row>
    <row r="16" spans="1:8" x14ac:dyDescent="0.25">
      <c r="A16" s="12" t="s">
        <v>44</v>
      </c>
      <c r="B16" s="12">
        <v>12.8</v>
      </c>
      <c r="C16" s="12"/>
      <c r="D16" s="12"/>
      <c r="E16" s="12"/>
      <c r="F16" s="12"/>
      <c r="G16" s="12"/>
      <c r="H16" s="12"/>
    </row>
    <row r="17" spans="1:9" x14ac:dyDescent="0.25">
      <c r="A17" s="12"/>
      <c r="B17" s="12"/>
      <c r="C17" s="12"/>
      <c r="D17" s="12"/>
      <c r="E17" s="12"/>
      <c r="F17" s="12"/>
      <c r="G17" s="12"/>
      <c r="H17" s="12"/>
    </row>
    <row r="20" spans="1:9" x14ac:dyDescent="0.25">
      <c r="H20" t="s">
        <v>184</v>
      </c>
    </row>
    <row r="21" spans="1:9" x14ac:dyDescent="0.25">
      <c r="A21" s="13" t="s">
        <v>185</v>
      </c>
      <c r="B21" s="13"/>
      <c r="C21" s="13"/>
      <c r="D21" s="13"/>
      <c r="H21" s="10" t="s">
        <v>186</v>
      </c>
      <c r="I21" s="10"/>
    </row>
    <row r="22" spans="1:9" x14ac:dyDescent="0.25">
      <c r="A22" s="13" t="s">
        <v>187</v>
      </c>
      <c r="B22" s="13"/>
      <c r="C22" s="13"/>
      <c r="D22" s="13"/>
      <c r="H22" s="10">
        <v>1945</v>
      </c>
      <c r="I22" s="10"/>
    </row>
    <row r="23" spans="1:9" x14ac:dyDescent="0.25">
      <c r="A23" s="13">
        <v>1945</v>
      </c>
      <c r="B23" s="13" t="s">
        <v>188</v>
      </c>
      <c r="C23" s="13" t="s">
        <v>189</v>
      </c>
      <c r="D23" s="13" t="s">
        <v>190</v>
      </c>
      <c r="H23" s="10" t="s">
        <v>191</v>
      </c>
      <c r="I23" s="34">
        <v>600</v>
      </c>
    </row>
    <row r="24" spans="1:9" x14ac:dyDescent="0.25">
      <c r="A24" s="13" t="s">
        <v>44</v>
      </c>
      <c r="B24" s="13">
        <v>0.22</v>
      </c>
      <c r="C24" s="13">
        <v>0.25</v>
      </c>
      <c r="D24" s="13">
        <v>0.05</v>
      </c>
      <c r="H24" s="10" t="s">
        <v>192</v>
      </c>
      <c r="I24" s="34">
        <v>866</v>
      </c>
    </row>
    <row r="25" spans="1:9" x14ac:dyDescent="0.25">
      <c r="A25" s="13" t="s">
        <v>174</v>
      </c>
      <c r="B25" s="13">
        <v>0.11</v>
      </c>
      <c r="C25" s="13">
        <v>0.08</v>
      </c>
      <c r="D25" s="13">
        <v>0.08</v>
      </c>
      <c r="H25" s="10" t="s">
        <v>193</v>
      </c>
      <c r="I25" s="34">
        <v>1100</v>
      </c>
    </row>
    <row r="26" spans="1:9" x14ac:dyDescent="0.25">
      <c r="A26" s="13" t="s">
        <v>175</v>
      </c>
      <c r="B26" s="13">
        <v>0.09</v>
      </c>
      <c r="C26" s="13">
        <v>7.0000000000000007E-2</v>
      </c>
      <c r="D26" s="13">
        <v>0.05</v>
      </c>
      <c r="H26" s="10" t="s">
        <v>194</v>
      </c>
      <c r="I26" s="34">
        <v>12100</v>
      </c>
    </row>
    <row r="27" spans="1:9" x14ac:dyDescent="0.25">
      <c r="A27" s="13" t="s">
        <v>176</v>
      </c>
      <c r="B27" s="13">
        <v>0.02</v>
      </c>
      <c r="C27" s="13">
        <v>0.02</v>
      </c>
      <c r="D27" s="13">
        <v>0.01</v>
      </c>
      <c r="H27" s="10" t="s">
        <v>195</v>
      </c>
      <c r="I27" s="34">
        <v>71500</v>
      </c>
    </row>
    <row r="28" spans="1:9" x14ac:dyDescent="0.25">
      <c r="A28" s="13" t="s">
        <v>177</v>
      </c>
      <c r="B28" s="13">
        <v>0.08</v>
      </c>
      <c r="C28" s="13">
        <v>0.04</v>
      </c>
      <c r="D28" s="13">
        <v>0.1</v>
      </c>
      <c r="H28" s="10" t="s">
        <v>196</v>
      </c>
      <c r="I28" s="34">
        <v>143000</v>
      </c>
    </row>
    <row r="29" spans="1:9" x14ac:dyDescent="0.25">
      <c r="A29" s="13" t="s">
        <v>178</v>
      </c>
      <c r="B29" s="13">
        <v>0.08</v>
      </c>
      <c r="C29" s="13">
        <v>0.05</v>
      </c>
      <c r="D29" s="13">
        <v>0.12</v>
      </c>
      <c r="H29" s="10">
        <v>1946</v>
      </c>
      <c r="I29" s="34"/>
    </row>
    <row r="30" spans="1:9" x14ac:dyDescent="0.25">
      <c r="A30" s="13">
        <v>1946</v>
      </c>
      <c r="B30" s="13"/>
      <c r="C30" s="13"/>
      <c r="D30" s="13"/>
      <c r="H30" s="10" t="s">
        <v>197</v>
      </c>
      <c r="I30" s="34">
        <v>143000</v>
      </c>
    </row>
    <row r="31" spans="1:9" x14ac:dyDescent="0.25">
      <c r="A31" s="13" t="s">
        <v>179</v>
      </c>
      <c r="B31" s="13">
        <v>7.0000000000000007E-2</v>
      </c>
      <c r="C31" s="13">
        <v>0.05</v>
      </c>
      <c r="D31" s="13">
        <v>0.03</v>
      </c>
      <c r="H31" s="10" t="s">
        <v>198</v>
      </c>
      <c r="I31" s="34">
        <v>280000</v>
      </c>
    </row>
    <row r="32" spans="1:9" x14ac:dyDescent="0.25">
      <c r="A32" s="13" t="s">
        <v>180</v>
      </c>
      <c r="B32" s="13">
        <v>0.04</v>
      </c>
      <c r="C32" s="13">
        <v>0.26</v>
      </c>
      <c r="D32" s="13">
        <v>0.12</v>
      </c>
      <c r="H32" s="10" t="s">
        <v>199</v>
      </c>
      <c r="I32" s="34">
        <v>2000000</v>
      </c>
    </row>
    <row r="33" spans="1:9" x14ac:dyDescent="0.25">
      <c r="A33" s="13" t="s">
        <v>181</v>
      </c>
      <c r="B33" s="13">
        <v>0.38</v>
      </c>
      <c r="C33" s="13">
        <v>0.26</v>
      </c>
      <c r="D33" s="13">
        <v>0.24</v>
      </c>
      <c r="H33" s="10" t="s">
        <v>200</v>
      </c>
      <c r="I33" s="34">
        <v>9000000</v>
      </c>
    </row>
    <row r="34" spans="1:9" x14ac:dyDescent="0.25">
      <c r="A34" s="13" t="s">
        <v>201</v>
      </c>
      <c r="B34" s="13">
        <v>0.18</v>
      </c>
      <c r="C34" s="13">
        <v>0.33</v>
      </c>
      <c r="D34" s="13">
        <v>0.35</v>
      </c>
      <c r="H34" s="10" t="s">
        <v>202</v>
      </c>
      <c r="I34" s="34">
        <v>25000000</v>
      </c>
    </row>
    <row r="35" spans="1:9" x14ac:dyDescent="0.25">
      <c r="A35" s="13" t="s">
        <v>50</v>
      </c>
      <c r="B35" s="13">
        <v>0.18</v>
      </c>
      <c r="C35" s="13">
        <v>0.23</v>
      </c>
      <c r="D35" s="13">
        <v>0.14000000000000001</v>
      </c>
      <c r="H35" s="10" t="s">
        <v>203</v>
      </c>
      <c r="I35" s="34">
        <v>68750000</v>
      </c>
    </row>
    <row r="36" spans="1:9" x14ac:dyDescent="0.25">
      <c r="A36" s="13" t="s">
        <v>183</v>
      </c>
      <c r="B36" s="13">
        <v>0.78</v>
      </c>
      <c r="C36" s="13">
        <v>0.55000000000000004</v>
      </c>
      <c r="D36" s="13">
        <v>0.22</v>
      </c>
      <c r="H36" s="10" t="s">
        <v>204</v>
      </c>
      <c r="I36" s="34">
        <v>246000000</v>
      </c>
    </row>
    <row r="37" spans="1:9" x14ac:dyDescent="0.25">
      <c r="A37" s="13" t="s">
        <v>44</v>
      </c>
      <c r="B37" s="13">
        <v>0.09</v>
      </c>
      <c r="C37" s="13">
        <v>7.0000000000000007E-2</v>
      </c>
      <c r="D37" s="13">
        <v>0.04</v>
      </c>
      <c r="H37" s="10" t="s">
        <v>205</v>
      </c>
      <c r="I37" s="34">
        <v>450000000</v>
      </c>
    </row>
    <row r="38" spans="1:9" x14ac:dyDescent="0.25">
      <c r="A38" s="13"/>
      <c r="B38" s="13"/>
      <c r="C38" s="13"/>
      <c r="D38" s="13"/>
      <c r="H38" s="10" t="s">
        <v>206</v>
      </c>
      <c r="I38" s="34">
        <v>900000000</v>
      </c>
    </row>
    <row r="39" spans="1:9" x14ac:dyDescent="0.25">
      <c r="H39" s="10" t="s">
        <v>207</v>
      </c>
      <c r="I39" s="34">
        <v>2700000000</v>
      </c>
    </row>
    <row r="40" spans="1:9" x14ac:dyDescent="0.25">
      <c r="H40" s="10" t="s">
        <v>208</v>
      </c>
      <c r="I40" s="34">
        <v>8000000000</v>
      </c>
    </row>
    <row r="41" spans="1:9" x14ac:dyDescent="0.25">
      <c r="H41" s="10" t="s">
        <v>209</v>
      </c>
      <c r="I41" s="34">
        <v>32400000000</v>
      </c>
    </row>
    <row r="42" spans="1:9" x14ac:dyDescent="0.25">
      <c r="A42" s="84" t="s">
        <v>210</v>
      </c>
      <c r="B42" s="84"/>
      <c r="C42" s="84"/>
      <c r="D42" s="84"/>
      <c r="H42" s="10" t="s">
        <v>211</v>
      </c>
      <c r="I42" s="34">
        <v>311000000000</v>
      </c>
    </row>
    <row r="43" spans="1:9" ht="30" customHeight="1" x14ac:dyDescent="0.25">
      <c r="A43" s="84" t="s">
        <v>212</v>
      </c>
      <c r="B43" s="84"/>
      <c r="C43" s="84"/>
      <c r="D43" s="84"/>
      <c r="F43" s="83" t="s">
        <v>213</v>
      </c>
      <c r="G43" s="83"/>
      <c r="H43" s="14">
        <v>42158</v>
      </c>
      <c r="I43" s="34">
        <v>570000000000</v>
      </c>
    </row>
    <row r="44" spans="1:9" ht="30" x14ac:dyDescent="0.25">
      <c r="A44" s="15"/>
      <c r="B44" s="16" t="s">
        <v>214</v>
      </c>
      <c r="C44" s="16" t="s">
        <v>88</v>
      </c>
      <c r="D44" s="16" t="s">
        <v>58</v>
      </c>
      <c r="H44" s="14">
        <v>42167</v>
      </c>
      <c r="I44" s="34">
        <v>6686000000000</v>
      </c>
    </row>
    <row r="45" spans="1:9" x14ac:dyDescent="0.25">
      <c r="A45" s="59">
        <v>16619</v>
      </c>
      <c r="B45" s="19">
        <v>100</v>
      </c>
      <c r="C45" s="19">
        <v>100</v>
      </c>
      <c r="D45" s="19">
        <v>100</v>
      </c>
      <c r="H45" s="14">
        <v>42175</v>
      </c>
      <c r="I45" s="34">
        <v>100980000000000</v>
      </c>
    </row>
    <row r="46" spans="1:9" x14ac:dyDescent="0.25">
      <c r="A46" s="17">
        <v>16711</v>
      </c>
      <c r="B46" s="20">
        <v>390</v>
      </c>
      <c r="C46" s="20">
        <v>102</v>
      </c>
      <c r="D46" s="20">
        <v>100</v>
      </c>
      <c r="H46" s="14">
        <v>42182</v>
      </c>
      <c r="I46" s="34">
        <v>1.2E+16</v>
      </c>
    </row>
    <row r="47" spans="1:9" x14ac:dyDescent="0.25">
      <c r="A47" s="17">
        <v>16742</v>
      </c>
      <c r="B47" s="20">
        <v>2658</v>
      </c>
      <c r="C47" s="20">
        <v>103</v>
      </c>
      <c r="D47" s="20">
        <v>2143</v>
      </c>
      <c r="H47" s="14">
        <v>42187</v>
      </c>
      <c r="I47" s="34">
        <v>1.08E+17</v>
      </c>
    </row>
    <row r="48" spans="1:9" x14ac:dyDescent="0.25">
      <c r="A48" s="17">
        <v>16772</v>
      </c>
      <c r="B48" s="20">
        <v>14484</v>
      </c>
      <c r="C48" s="20">
        <v>105</v>
      </c>
      <c r="D48" s="20">
        <v>4286</v>
      </c>
      <c r="H48" s="14">
        <v>42194</v>
      </c>
      <c r="I48" s="34">
        <v>2E+20</v>
      </c>
    </row>
    <row r="49" spans="1:9" x14ac:dyDescent="0.25">
      <c r="A49" s="59">
        <v>16803</v>
      </c>
      <c r="B49" s="20">
        <v>34000</v>
      </c>
      <c r="C49" s="20">
        <v>106000</v>
      </c>
      <c r="D49" s="20">
        <v>6000</v>
      </c>
      <c r="H49" s="14">
        <v>42200</v>
      </c>
      <c r="I49" s="34">
        <v>2.1600000000000002E+23</v>
      </c>
    </row>
    <row r="50" spans="1:9" x14ac:dyDescent="0.25">
      <c r="A50" s="17">
        <v>16834</v>
      </c>
      <c r="B50" s="20">
        <v>70000</v>
      </c>
      <c r="C50" s="20">
        <v>108000</v>
      </c>
      <c r="D50" s="20">
        <v>71000</v>
      </c>
      <c r="H50" s="14">
        <v>42204</v>
      </c>
      <c r="I50" s="34">
        <v>3.5200000000000001E+24</v>
      </c>
    </row>
    <row r="51" spans="1:9" x14ac:dyDescent="0.25">
      <c r="A51" s="17">
        <v>16862</v>
      </c>
      <c r="B51" s="20">
        <v>445000</v>
      </c>
      <c r="C51" s="20">
        <v>109000</v>
      </c>
      <c r="D51" s="20">
        <v>285000</v>
      </c>
      <c r="H51" s="14">
        <v>42215</v>
      </c>
      <c r="I51" s="34">
        <v>4.4999999999999996E+31</v>
      </c>
    </row>
    <row r="52" spans="1:9" x14ac:dyDescent="0.25">
      <c r="A52" s="17">
        <v>16893</v>
      </c>
      <c r="B52" s="20">
        <v>2000000</v>
      </c>
      <c r="C52" s="20">
        <v>110000000</v>
      </c>
      <c r="D52" s="20">
        <v>1000000</v>
      </c>
      <c r="H52" s="10" t="s">
        <v>215</v>
      </c>
      <c r="I52" s="34">
        <v>4.5540000000000001E+31</v>
      </c>
    </row>
    <row r="53" spans="1:9" x14ac:dyDescent="0.25">
      <c r="A53" s="17">
        <v>16923</v>
      </c>
      <c r="B53" s="20">
        <v>35000000</v>
      </c>
      <c r="C53" s="20">
        <v>112000000</v>
      </c>
      <c r="D53" s="20">
        <v>24000000</v>
      </c>
      <c r="H53" s="10"/>
      <c r="I53" s="35"/>
    </row>
    <row r="54" spans="1:9" x14ac:dyDescent="0.25">
      <c r="A54" s="17">
        <v>16954</v>
      </c>
      <c r="B54" s="20">
        <v>14000000000</v>
      </c>
      <c r="C54" s="20">
        <v>7000000000</v>
      </c>
      <c r="D54" s="20">
        <v>5000000000</v>
      </c>
      <c r="I54" s="3"/>
    </row>
    <row r="55" spans="1:9" x14ac:dyDescent="0.25">
      <c r="B55" s="18"/>
      <c r="C55" s="18"/>
      <c r="D55" s="18"/>
    </row>
    <row r="57" spans="1:9" x14ac:dyDescent="0.25">
      <c r="A57" t="s">
        <v>216</v>
      </c>
      <c r="C57" t="s">
        <v>217</v>
      </c>
    </row>
    <row r="58" spans="1:9" x14ac:dyDescent="0.25">
      <c r="A58">
        <v>1946</v>
      </c>
      <c r="B58" t="s">
        <v>218</v>
      </c>
      <c r="C58" t="s">
        <v>219</v>
      </c>
      <c r="D58" t="s">
        <v>220</v>
      </c>
      <c r="E58" t="s">
        <v>221</v>
      </c>
    </row>
    <row r="59" spans="1:9" x14ac:dyDescent="0.25">
      <c r="A59" s="9">
        <v>42202</v>
      </c>
      <c r="B59" s="4">
        <v>16000000</v>
      </c>
      <c r="C59" s="4">
        <v>720000</v>
      </c>
      <c r="D59" s="4">
        <v>1960000</v>
      </c>
      <c r="E59" s="4">
        <v>125000000</v>
      </c>
    </row>
    <row r="60" spans="1:9" x14ac:dyDescent="0.25">
      <c r="A60" s="9">
        <v>42205</v>
      </c>
      <c r="B60" s="4">
        <v>30000000</v>
      </c>
      <c r="C60" s="4">
        <v>1125000</v>
      </c>
      <c r="D60" s="4">
        <v>2660000</v>
      </c>
      <c r="E60" s="4">
        <v>180000000</v>
      </c>
    </row>
    <row r="61" spans="1:9" x14ac:dyDescent="0.25">
      <c r="A61" s="9">
        <v>42209</v>
      </c>
      <c r="B61" s="4">
        <v>86000000</v>
      </c>
      <c r="C61" s="4">
        <v>4000000</v>
      </c>
      <c r="D61" s="4">
        <v>8000000</v>
      </c>
      <c r="E61" s="4">
        <v>680000000</v>
      </c>
    </row>
  </sheetData>
  <mergeCells count="5">
    <mergeCell ref="A1:H1"/>
    <mergeCell ref="A2:G2"/>
    <mergeCell ref="F43:G43"/>
    <mergeCell ref="A42:D42"/>
    <mergeCell ref="A43:D4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Contents</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Tab 15</vt:lpstr>
      <vt:lpstr>Tab 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Vinitha Kumar</dc:creator>
  <cp:keywords/>
  <dc:description/>
  <cp:lastModifiedBy>Vinitha Kumar</cp:lastModifiedBy>
  <cp:revision/>
  <dcterms:created xsi:type="dcterms:W3CDTF">2015-06-23T17:30:34Z</dcterms:created>
  <dcterms:modified xsi:type="dcterms:W3CDTF">2015-09-25T00:45:25Z</dcterms:modified>
</cp:coreProperties>
</file>