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gif" ContentType="image/gif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Arshad/Desktop/Johns Hopkins/Senior First Semester/Modeling/Costco Model/"/>
    </mc:Choice>
  </mc:AlternateContent>
  <bookViews>
    <workbookView xWindow="0" yWindow="460" windowWidth="28800" windowHeight="17460"/>
  </bookViews>
  <sheets>
    <sheet name="CP" sheetId="1" r:id="rId1"/>
    <sheet name="BS" sheetId="2" r:id="rId2"/>
    <sheet name="IS" sheetId="3" r:id="rId3"/>
    <sheet name="RG" sheetId="4" r:id="rId4"/>
    <sheet name="VD" sheetId="5" r:id="rId5"/>
    <sheet name="P-DCF" sheetId="6" r:id="rId6"/>
    <sheet name="Tuned P-DCF" sheetId="7" r:id="rId7"/>
    <sheet name="MC" sheetId="10" r:id="rId8"/>
    <sheet name="Graphs for Paper" sheetId="9" r:id="rId9"/>
  </sheets>
  <externalReferences>
    <externalReference r:id="rId10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10" l="1"/>
  <c r="B43" i="10"/>
  <c r="C43" i="10"/>
  <c r="B47" i="10"/>
  <c r="C47" i="10"/>
  <c r="B51" i="10"/>
  <c r="C51" i="10"/>
  <c r="C39" i="10"/>
  <c r="C90" i="10"/>
  <c r="C75" i="10"/>
  <c r="C106" i="10"/>
  <c r="D43" i="10"/>
  <c r="D47" i="10"/>
  <c r="D51" i="10"/>
  <c r="D39" i="10"/>
  <c r="D90" i="10"/>
  <c r="D75" i="10"/>
  <c r="D106" i="10"/>
  <c r="E43" i="10"/>
  <c r="E47" i="10"/>
  <c r="E51" i="10"/>
  <c r="E39" i="10"/>
  <c r="E90" i="10"/>
  <c r="E75" i="10"/>
  <c r="E106" i="10"/>
  <c r="F43" i="10"/>
  <c r="F47" i="10"/>
  <c r="F51" i="10"/>
  <c r="F39" i="10"/>
  <c r="F90" i="10"/>
  <c r="F75" i="10"/>
  <c r="F106" i="10"/>
  <c r="G43" i="10"/>
  <c r="G47" i="10"/>
  <c r="G51" i="10"/>
  <c r="G39" i="10"/>
  <c r="G90" i="10"/>
  <c r="G75" i="10"/>
  <c r="G106" i="10"/>
  <c r="H43" i="10"/>
  <c r="H47" i="10"/>
  <c r="H51" i="10"/>
  <c r="H39" i="10"/>
  <c r="H90" i="10"/>
  <c r="H75" i="10"/>
  <c r="H106" i="10"/>
  <c r="I43" i="10"/>
  <c r="I47" i="10"/>
  <c r="I51" i="10"/>
  <c r="I39" i="10"/>
  <c r="I90" i="10"/>
  <c r="I75" i="10"/>
  <c r="I106" i="10"/>
  <c r="J43" i="10"/>
  <c r="J47" i="10"/>
  <c r="J51" i="10"/>
  <c r="J39" i="10"/>
  <c r="J90" i="10"/>
  <c r="J75" i="10"/>
  <c r="J106" i="10"/>
  <c r="K43" i="10"/>
  <c r="K47" i="10"/>
  <c r="K51" i="10"/>
  <c r="K39" i="10"/>
  <c r="K90" i="10"/>
  <c r="K75" i="10"/>
  <c r="K106" i="10"/>
  <c r="L43" i="10"/>
  <c r="L47" i="10"/>
  <c r="L51" i="10"/>
  <c r="L39" i="10"/>
  <c r="L90" i="10"/>
  <c r="L75" i="10"/>
  <c r="L106" i="10"/>
  <c r="B107" i="10"/>
  <c r="C88" i="10"/>
  <c r="C107" i="10"/>
  <c r="D88" i="10"/>
  <c r="D107" i="10"/>
  <c r="E88" i="10"/>
  <c r="E107" i="10"/>
  <c r="F88" i="10"/>
  <c r="F107" i="10"/>
  <c r="G88" i="10"/>
  <c r="G107" i="10"/>
  <c r="H88" i="10"/>
  <c r="H107" i="10"/>
  <c r="I88" i="10"/>
  <c r="I107" i="10"/>
  <c r="J88" i="10"/>
  <c r="J107" i="10"/>
  <c r="K88" i="10"/>
  <c r="K107" i="10"/>
  <c r="L88" i="10"/>
  <c r="L107" i="10"/>
  <c r="L108" i="10"/>
  <c r="L112" i="10"/>
  <c r="K108" i="10"/>
  <c r="K112" i="10"/>
  <c r="J108" i="10"/>
  <c r="J112" i="10"/>
  <c r="I108" i="10"/>
  <c r="I112" i="10"/>
  <c r="H108" i="10"/>
  <c r="H112" i="10"/>
  <c r="G108" i="10"/>
  <c r="G112" i="10"/>
  <c r="F108" i="10"/>
  <c r="F112" i="10"/>
  <c r="E108" i="10"/>
  <c r="E112" i="10"/>
  <c r="D108" i="10"/>
  <c r="D112" i="10"/>
  <c r="C108" i="10"/>
  <c r="C112" i="10"/>
  <c r="L111" i="10"/>
  <c r="K111" i="10"/>
  <c r="J111" i="10"/>
  <c r="I111" i="10"/>
  <c r="H111" i="10"/>
  <c r="G111" i="10"/>
  <c r="F111" i="10"/>
  <c r="E111" i="10"/>
  <c r="D111" i="10"/>
  <c r="C111" i="10"/>
  <c r="L56" i="10"/>
  <c r="L58" i="10"/>
  <c r="L60" i="10"/>
  <c r="L66" i="10"/>
  <c r="B72" i="10"/>
  <c r="C70" i="10"/>
  <c r="C72" i="10"/>
  <c r="D70" i="10"/>
  <c r="D72" i="10"/>
  <c r="E70" i="10"/>
  <c r="E72" i="10"/>
  <c r="F70" i="10"/>
  <c r="F72" i="10"/>
  <c r="G70" i="10"/>
  <c r="G72" i="10"/>
  <c r="H70" i="10"/>
  <c r="H72" i="10"/>
  <c r="I70" i="10"/>
  <c r="I72" i="10"/>
  <c r="J70" i="10"/>
  <c r="J72" i="10"/>
  <c r="K70" i="10"/>
  <c r="K72" i="10"/>
  <c r="L70" i="10"/>
  <c r="L73" i="10"/>
  <c r="L77" i="10"/>
  <c r="L79" i="10"/>
  <c r="L81" i="10"/>
  <c r="L84" i="10"/>
  <c r="L93" i="10"/>
  <c r="L110" i="10"/>
  <c r="K56" i="10"/>
  <c r="K58" i="10"/>
  <c r="K60" i="10"/>
  <c r="K66" i="10"/>
  <c r="K73" i="10"/>
  <c r="K77" i="10"/>
  <c r="K79" i="10"/>
  <c r="K81" i="10"/>
  <c r="K84" i="10"/>
  <c r="K93" i="10"/>
  <c r="K110" i="10"/>
  <c r="J56" i="10"/>
  <c r="J58" i="10"/>
  <c r="J60" i="10"/>
  <c r="J66" i="10"/>
  <c r="J73" i="10"/>
  <c r="J77" i="10"/>
  <c r="J79" i="10"/>
  <c r="J81" i="10"/>
  <c r="J84" i="10"/>
  <c r="J93" i="10"/>
  <c r="J110" i="10"/>
  <c r="I56" i="10"/>
  <c r="I58" i="10"/>
  <c r="I60" i="10"/>
  <c r="I66" i="10"/>
  <c r="I73" i="10"/>
  <c r="I77" i="10"/>
  <c r="I79" i="10"/>
  <c r="I81" i="10"/>
  <c r="I84" i="10"/>
  <c r="I93" i="10"/>
  <c r="I110" i="10"/>
  <c r="H56" i="10"/>
  <c r="H58" i="10"/>
  <c r="H60" i="10"/>
  <c r="H66" i="10"/>
  <c r="H73" i="10"/>
  <c r="H77" i="10"/>
  <c r="H79" i="10"/>
  <c r="H81" i="10"/>
  <c r="H84" i="10"/>
  <c r="H93" i="10"/>
  <c r="H110" i="10"/>
  <c r="G56" i="10"/>
  <c r="G58" i="10"/>
  <c r="G60" i="10"/>
  <c r="G66" i="10"/>
  <c r="G73" i="10"/>
  <c r="G77" i="10"/>
  <c r="G79" i="10"/>
  <c r="G81" i="10"/>
  <c r="G84" i="10"/>
  <c r="G93" i="10"/>
  <c r="G110" i="10"/>
  <c r="F56" i="10"/>
  <c r="F58" i="10"/>
  <c r="F60" i="10"/>
  <c r="F66" i="10"/>
  <c r="F73" i="10"/>
  <c r="F77" i="10"/>
  <c r="F79" i="10"/>
  <c r="F81" i="10"/>
  <c r="F84" i="10"/>
  <c r="F93" i="10"/>
  <c r="F110" i="10"/>
  <c r="E56" i="10"/>
  <c r="E58" i="10"/>
  <c r="E60" i="10"/>
  <c r="E66" i="10"/>
  <c r="E73" i="10"/>
  <c r="E77" i="10"/>
  <c r="E79" i="10"/>
  <c r="E81" i="10"/>
  <c r="E84" i="10"/>
  <c r="E93" i="10"/>
  <c r="E110" i="10"/>
  <c r="D56" i="10"/>
  <c r="D58" i="10"/>
  <c r="D60" i="10"/>
  <c r="D66" i="10"/>
  <c r="D73" i="10"/>
  <c r="D77" i="10"/>
  <c r="D79" i="10"/>
  <c r="D81" i="10"/>
  <c r="D84" i="10"/>
  <c r="D93" i="10"/>
  <c r="D110" i="10"/>
  <c r="C56" i="10"/>
  <c r="C58" i="10"/>
  <c r="C60" i="10"/>
  <c r="C66" i="10"/>
  <c r="C73" i="10"/>
  <c r="C77" i="10"/>
  <c r="C79" i="10"/>
  <c r="C81" i="10"/>
  <c r="C84" i="10"/>
  <c r="C93" i="10"/>
  <c r="C110" i="10"/>
  <c r="L109" i="10"/>
  <c r="K109" i="10"/>
  <c r="J109" i="10"/>
  <c r="I109" i="10"/>
  <c r="H109" i="10"/>
  <c r="G109" i="10"/>
  <c r="F109" i="10"/>
  <c r="E109" i="10"/>
  <c r="D109" i="10"/>
  <c r="C109" i="10"/>
  <c r="B108" i="10"/>
  <c r="C94" i="10"/>
  <c r="D94" i="10"/>
  <c r="E94" i="10"/>
  <c r="F94" i="10"/>
  <c r="G94" i="10"/>
  <c r="H94" i="10"/>
  <c r="I94" i="10"/>
  <c r="J94" i="10"/>
  <c r="K94" i="10"/>
  <c r="L94" i="10"/>
  <c r="C98" i="10"/>
  <c r="C99" i="10"/>
  <c r="C100" i="10"/>
  <c r="C101" i="10"/>
  <c r="C102" i="10"/>
  <c r="D24" i="10"/>
  <c r="M91" i="10"/>
  <c r="A24" i="10"/>
  <c r="A90" i="10"/>
  <c r="D23" i="10"/>
  <c r="M89" i="10"/>
  <c r="A23" i="10"/>
  <c r="A88" i="10"/>
  <c r="L85" i="10"/>
  <c r="K85" i="10"/>
  <c r="J85" i="10"/>
  <c r="I85" i="10"/>
  <c r="H85" i="10"/>
  <c r="G85" i="10"/>
  <c r="F85" i="10"/>
  <c r="E85" i="10"/>
  <c r="D85" i="10"/>
  <c r="C85" i="10"/>
  <c r="D21" i="10"/>
  <c r="M82" i="10"/>
  <c r="A21" i="10"/>
  <c r="A81" i="10"/>
  <c r="D20" i="10"/>
  <c r="M80" i="10"/>
  <c r="A20" i="10"/>
  <c r="A79" i="10"/>
  <c r="L78" i="10"/>
  <c r="K78" i="10"/>
  <c r="J78" i="10"/>
  <c r="I78" i="10"/>
  <c r="H78" i="10"/>
  <c r="G78" i="10"/>
  <c r="F78" i="10"/>
  <c r="E78" i="10"/>
  <c r="D78" i="10"/>
  <c r="C78" i="10"/>
  <c r="D19" i="10"/>
  <c r="M76" i="10"/>
  <c r="A19" i="10"/>
  <c r="A75" i="10"/>
  <c r="D18" i="10"/>
  <c r="M74" i="10"/>
  <c r="A18" i="10"/>
  <c r="A73" i="10"/>
  <c r="D17" i="10"/>
  <c r="M71" i="10"/>
  <c r="A17" i="10"/>
  <c r="A70" i="10"/>
  <c r="L67" i="10"/>
  <c r="K67" i="10"/>
  <c r="J67" i="10"/>
  <c r="I67" i="10"/>
  <c r="H67" i="10"/>
  <c r="G67" i="10"/>
  <c r="F67" i="10"/>
  <c r="E67" i="10"/>
  <c r="D67" i="10"/>
  <c r="C67" i="10"/>
  <c r="C63" i="10"/>
  <c r="D63" i="10"/>
  <c r="E63" i="10"/>
  <c r="F63" i="10"/>
  <c r="G63" i="10"/>
  <c r="H63" i="10"/>
  <c r="I63" i="10"/>
  <c r="J63" i="10"/>
  <c r="K63" i="10"/>
  <c r="L63" i="10"/>
  <c r="L40" i="10"/>
  <c r="L64" i="10"/>
  <c r="K40" i="10"/>
  <c r="K64" i="10"/>
  <c r="J40" i="10"/>
  <c r="J64" i="10"/>
  <c r="I40" i="10"/>
  <c r="I64" i="10"/>
  <c r="H40" i="10"/>
  <c r="H64" i="10"/>
  <c r="G40" i="10"/>
  <c r="G64" i="10"/>
  <c r="F40" i="10"/>
  <c r="F64" i="10"/>
  <c r="E40" i="10"/>
  <c r="E64" i="10"/>
  <c r="D40" i="10"/>
  <c r="D64" i="10"/>
  <c r="B39" i="10"/>
  <c r="C40" i="10"/>
  <c r="C64" i="10"/>
  <c r="A63" i="10"/>
  <c r="D15" i="10"/>
  <c r="M61" i="10"/>
  <c r="A15" i="10"/>
  <c r="A60" i="10"/>
  <c r="D14" i="10"/>
  <c r="M59" i="10"/>
  <c r="A14" i="10"/>
  <c r="A58" i="10"/>
  <c r="D13" i="10"/>
  <c r="M57" i="10"/>
  <c r="A13" i="10"/>
  <c r="A56" i="10"/>
  <c r="L53" i="10"/>
  <c r="K53" i="10"/>
  <c r="J53" i="10"/>
  <c r="I53" i="10"/>
  <c r="H53" i="10"/>
  <c r="G53" i="10"/>
  <c r="F53" i="10"/>
  <c r="E53" i="10"/>
  <c r="D53" i="10"/>
  <c r="C53" i="10"/>
  <c r="D11" i="10"/>
  <c r="M52" i="10"/>
  <c r="A11" i="10"/>
  <c r="A51" i="10"/>
  <c r="L49" i="10"/>
  <c r="K49" i="10"/>
  <c r="J49" i="10"/>
  <c r="I49" i="10"/>
  <c r="H49" i="10"/>
  <c r="G49" i="10"/>
  <c r="F49" i="10"/>
  <c r="E49" i="10"/>
  <c r="D49" i="10"/>
  <c r="C49" i="10"/>
  <c r="D10" i="10"/>
  <c r="M48" i="10"/>
  <c r="A10" i="10"/>
  <c r="A47" i="10"/>
  <c r="L45" i="10"/>
  <c r="K45" i="10"/>
  <c r="J45" i="10"/>
  <c r="I45" i="10"/>
  <c r="H45" i="10"/>
  <c r="G45" i="10"/>
  <c r="F45" i="10"/>
  <c r="E45" i="10"/>
  <c r="D45" i="10"/>
  <c r="C45" i="10"/>
  <c r="D9" i="10"/>
  <c r="M44" i="10"/>
  <c r="A9" i="10"/>
  <c r="A43" i="10"/>
  <c r="M40" i="10"/>
  <c r="E26" i="10"/>
  <c r="D26" i="10"/>
  <c r="C26" i="10"/>
  <c r="Q22" i="10"/>
  <c r="Q24" i="10"/>
  <c r="C24" i="10"/>
  <c r="B24" i="10"/>
  <c r="C23" i="10"/>
  <c r="B23" i="10"/>
  <c r="C21" i="10"/>
  <c r="B21" i="10"/>
  <c r="C20" i="10"/>
  <c r="B20" i="10"/>
  <c r="C19" i="10"/>
  <c r="B19" i="10"/>
  <c r="H18" i="10"/>
  <c r="C18" i="10"/>
  <c r="B18" i="10"/>
  <c r="N17" i="10"/>
  <c r="M17" i="10"/>
  <c r="L17" i="10"/>
  <c r="J17" i="10"/>
  <c r="I17" i="10"/>
  <c r="H17" i="10"/>
  <c r="C17" i="10"/>
  <c r="B17" i="10"/>
  <c r="N16" i="10"/>
  <c r="M16" i="10"/>
  <c r="L16" i="10"/>
  <c r="J16" i="10"/>
  <c r="I16" i="10"/>
  <c r="H16" i="10"/>
  <c r="N15" i="10"/>
  <c r="M15" i="10"/>
  <c r="L15" i="10"/>
  <c r="J15" i="10"/>
  <c r="I15" i="10"/>
  <c r="H15" i="10"/>
  <c r="C15" i="10"/>
  <c r="B15" i="10"/>
  <c r="N14" i="10"/>
  <c r="M14" i="10"/>
  <c r="L14" i="10"/>
  <c r="J14" i="10"/>
  <c r="I14" i="10"/>
  <c r="H14" i="10"/>
  <c r="C14" i="10"/>
  <c r="C13" i="10"/>
  <c r="C11" i="10"/>
  <c r="C10" i="10"/>
  <c r="C9" i="10"/>
  <c r="F33" i="5"/>
  <c r="B24" i="7"/>
  <c r="B23" i="7"/>
  <c r="B18" i="7"/>
  <c r="B17" i="7"/>
  <c r="E23" i="5"/>
  <c r="G24" i="5"/>
  <c r="B106" i="7"/>
  <c r="C24" i="7"/>
  <c r="C91" i="7"/>
  <c r="B43" i="7"/>
  <c r="C9" i="7"/>
  <c r="C44" i="7"/>
  <c r="C43" i="7"/>
  <c r="B47" i="7"/>
  <c r="C10" i="7"/>
  <c r="C48" i="7"/>
  <c r="C47" i="7"/>
  <c r="B51" i="7"/>
  <c r="C11" i="7"/>
  <c r="C52" i="7"/>
  <c r="C51" i="7"/>
  <c r="C39" i="7"/>
  <c r="C90" i="7"/>
  <c r="C19" i="7"/>
  <c r="B19" i="7"/>
  <c r="C76" i="7"/>
  <c r="C75" i="7"/>
  <c r="C106" i="7"/>
  <c r="D91" i="7"/>
  <c r="D44" i="7"/>
  <c r="D43" i="7"/>
  <c r="D48" i="7"/>
  <c r="D47" i="7"/>
  <c r="D52" i="7"/>
  <c r="D51" i="7"/>
  <c r="D39" i="7"/>
  <c r="D90" i="7"/>
  <c r="D76" i="7"/>
  <c r="D75" i="7"/>
  <c r="D106" i="7"/>
  <c r="E91" i="7"/>
  <c r="E44" i="7"/>
  <c r="E43" i="7"/>
  <c r="E48" i="7"/>
  <c r="E47" i="7"/>
  <c r="E52" i="7"/>
  <c r="E51" i="7"/>
  <c r="E39" i="7"/>
  <c r="E90" i="7"/>
  <c r="E76" i="7"/>
  <c r="E75" i="7"/>
  <c r="E106" i="7"/>
  <c r="F91" i="7"/>
  <c r="F44" i="7"/>
  <c r="F43" i="7"/>
  <c r="F48" i="7"/>
  <c r="F47" i="7"/>
  <c r="F52" i="7"/>
  <c r="F51" i="7"/>
  <c r="F39" i="7"/>
  <c r="F90" i="7"/>
  <c r="F76" i="7"/>
  <c r="F75" i="7"/>
  <c r="F106" i="7"/>
  <c r="G91" i="7"/>
  <c r="G44" i="7"/>
  <c r="G43" i="7"/>
  <c r="G48" i="7"/>
  <c r="G47" i="7"/>
  <c r="G52" i="7"/>
  <c r="G51" i="7"/>
  <c r="G39" i="7"/>
  <c r="G90" i="7"/>
  <c r="G76" i="7"/>
  <c r="G75" i="7"/>
  <c r="G106" i="7"/>
  <c r="H91" i="7"/>
  <c r="H44" i="7"/>
  <c r="H43" i="7"/>
  <c r="H48" i="7"/>
  <c r="H47" i="7"/>
  <c r="H52" i="7"/>
  <c r="H51" i="7"/>
  <c r="H39" i="7"/>
  <c r="H90" i="7"/>
  <c r="H76" i="7"/>
  <c r="H75" i="7"/>
  <c r="H106" i="7"/>
  <c r="I91" i="7"/>
  <c r="I44" i="7"/>
  <c r="I43" i="7"/>
  <c r="I48" i="7"/>
  <c r="I47" i="7"/>
  <c r="I52" i="7"/>
  <c r="I51" i="7"/>
  <c r="I39" i="7"/>
  <c r="I90" i="7"/>
  <c r="I76" i="7"/>
  <c r="I75" i="7"/>
  <c r="I106" i="7"/>
  <c r="J91" i="7"/>
  <c r="J44" i="7"/>
  <c r="J43" i="7"/>
  <c r="J48" i="7"/>
  <c r="J47" i="7"/>
  <c r="J52" i="7"/>
  <c r="J51" i="7"/>
  <c r="J39" i="7"/>
  <c r="J90" i="7"/>
  <c r="J76" i="7"/>
  <c r="J75" i="7"/>
  <c r="J106" i="7"/>
  <c r="K91" i="7"/>
  <c r="K44" i="7"/>
  <c r="K43" i="7"/>
  <c r="K48" i="7"/>
  <c r="K47" i="7"/>
  <c r="K52" i="7"/>
  <c r="K51" i="7"/>
  <c r="K39" i="7"/>
  <c r="K90" i="7"/>
  <c r="K76" i="7"/>
  <c r="K75" i="7"/>
  <c r="K106" i="7"/>
  <c r="L91" i="7"/>
  <c r="L44" i="7"/>
  <c r="L43" i="7"/>
  <c r="L48" i="7"/>
  <c r="L47" i="7"/>
  <c r="L52" i="7"/>
  <c r="L51" i="7"/>
  <c r="L39" i="7"/>
  <c r="L90" i="7"/>
  <c r="L76" i="7"/>
  <c r="L75" i="7"/>
  <c r="L106" i="7"/>
  <c r="B107" i="7"/>
  <c r="C23" i="7"/>
  <c r="C89" i="7"/>
  <c r="C88" i="7"/>
  <c r="C107" i="7"/>
  <c r="D89" i="7"/>
  <c r="D88" i="7"/>
  <c r="D107" i="7"/>
  <c r="E89" i="7"/>
  <c r="E88" i="7"/>
  <c r="E107" i="7"/>
  <c r="F89" i="7"/>
  <c r="F88" i="7"/>
  <c r="F107" i="7"/>
  <c r="G89" i="7"/>
  <c r="G88" i="7"/>
  <c r="G107" i="7"/>
  <c r="H89" i="7"/>
  <c r="H88" i="7"/>
  <c r="H107" i="7"/>
  <c r="I89" i="7"/>
  <c r="I88" i="7"/>
  <c r="I107" i="7"/>
  <c r="J89" i="7"/>
  <c r="J88" i="7"/>
  <c r="J107" i="7"/>
  <c r="K89" i="7"/>
  <c r="K88" i="7"/>
  <c r="K107" i="7"/>
  <c r="L89" i="7"/>
  <c r="L88" i="7"/>
  <c r="L107" i="7"/>
  <c r="L108" i="7"/>
  <c r="L112" i="7"/>
  <c r="K108" i="7"/>
  <c r="K112" i="7"/>
  <c r="J108" i="7"/>
  <c r="J112" i="7"/>
  <c r="I108" i="7"/>
  <c r="I112" i="7"/>
  <c r="H108" i="7"/>
  <c r="H112" i="7"/>
  <c r="G108" i="7"/>
  <c r="G112" i="7"/>
  <c r="F108" i="7"/>
  <c r="F112" i="7"/>
  <c r="E108" i="7"/>
  <c r="E112" i="7"/>
  <c r="D108" i="7"/>
  <c r="D112" i="7"/>
  <c r="C108" i="7"/>
  <c r="C112" i="7"/>
  <c r="L111" i="7"/>
  <c r="K111" i="7"/>
  <c r="J111" i="7"/>
  <c r="I111" i="7"/>
  <c r="H111" i="7"/>
  <c r="G111" i="7"/>
  <c r="F111" i="7"/>
  <c r="E111" i="7"/>
  <c r="D111" i="7"/>
  <c r="C111" i="7"/>
  <c r="C13" i="7"/>
  <c r="C57" i="7"/>
  <c r="D57" i="7"/>
  <c r="E57" i="7"/>
  <c r="F57" i="7"/>
  <c r="G57" i="7"/>
  <c r="H57" i="7"/>
  <c r="I57" i="7"/>
  <c r="J57" i="7"/>
  <c r="K57" i="7"/>
  <c r="L57" i="7"/>
  <c r="L56" i="7"/>
  <c r="C14" i="7"/>
  <c r="C59" i="7"/>
  <c r="D59" i="7"/>
  <c r="E59" i="7"/>
  <c r="F59" i="7"/>
  <c r="G59" i="7"/>
  <c r="H59" i="7"/>
  <c r="I59" i="7"/>
  <c r="J59" i="7"/>
  <c r="K59" i="7"/>
  <c r="L59" i="7"/>
  <c r="L58" i="7"/>
  <c r="C15" i="7"/>
  <c r="B15" i="7"/>
  <c r="C61" i="7"/>
  <c r="D61" i="7"/>
  <c r="E61" i="7"/>
  <c r="F61" i="7"/>
  <c r="G61" i="7"/>
  <c r="H61" i="7"/>
  <c r="I61" i="7"/>
  <c r="J61" i="7"/>
  <c r="K61" i="7"/>
  <c r="L61" i="7"/>
  <c r="L60" i="7"/>
  <c r="L66" i="7"/>
  <c r="B72" i="7"/>
  <c r="C17" i="7"/>
  <c r="B71" i="7"/>
  <c r="C71" i="7"/>
  <c r="C70" i="7"/>
  <c r="C72" i="7"/>
  <c r="D71" i="7"/>
  <c r="D70" i="7"/>
  <c r="D72" i="7"/>
  <c r="E71" i="7"/>
  <c r="E70" i="7"/>
  <c r="E72" i="7"/>
  <c r="F71" i="7"/>
  <c r="F70" i="7"/>
  <c r="F72" i="7"/>
  <c r="G71" i="7"/>
  <c r="G70" i="7"/>
  <c r="G72" i="7"/>
  <c r="H71" i="7"/>
  <c r="H70" i="7"/>
  <c r="H72" i="7"/>
  <c r="I71" i="7"/>
  <c r="I70" i="7"/>
  <c r="I72" i="7"/>
  <c r="J71" i="7"/>
  <c r="J70" i="7"/>
  <c r="J72" i="7"/>
  <c r="K71" i="7"/>
  <c r="K70" i="7"/>
  <c r="K72" i="7"/>
  <c r="L70" i="7"/>
  <c r="L73" i="7"/>
  <c r="C20" i="7"/>
  <c r="B20" i="7"/>
  <c r="C80" i="7"/>
  <c r="D80" i="7"/>
  <c r="E80" i="7"/>
  <c r="F80" i="7"/>
  <c r="G80" i="7"/>
  <c r="H80" i="7"/>
  <c r="I80" i="7"/>
  <c r="J80" i="7"/>
  <c r="K80" i="7"/>
  <c r="L80" i="7"/>
  <c r="L77" i="7"/>
  <c r="L79" i="7"/>
  <c r="C21" i="7"/>
  <c r="B21" i="7"/>
  <c r="C82" i="7"/>
  <c r="D82" i="7"/>
  <c r="E82" i="7"/>
  <c r="F82" i="7"/>
  <c r="G82" i="7"/>
  <c r="H82" i="7"/>
  <c r="I82" i="7"/>
  <c r="J82" i="7"/>
  <c r="K82" i="7"/>
  <c r="L82" i="7"/>
  <c r="L81" i="7"/>
  <c r="L84" i="7"/>
  <c r="L93" i="7"/>
  <c r="L110" i="7"/>
  <c r="K56" i="7"/>
  <c r="K58" i="7"/>
  <c r="K60" i="7"/>
  <c r="K66" i="7"/>
  <c r="C18" i="7"/>
  <c r="C74" i="7"/>
  <c r="D74" i="7"/>
  <c r="E74" i="7"/>
  <c r="F74" i="7"/>
  <c r="G74" i="7"/>
  <c r="H74" i="7"/>
  <c r="I74" i="7"/>
  <c r="J74" i="7"/>
  <c r="K74" i="7"/>
  <c r="K73" i="7"/>
  <c r="K77" i="7"/>
  <c r="K79" i="7"/>
  <c r="K81" i="7"/>
  <c r="K84" i="7"/>
  <c r="K93" i="7"/>
  <c r="K110" i="7"/>
  <c r="J56" i="7"/>
  <c r="J58" i="7"/>
  <c r="J60" i="7"/>
  <c r="J66" i="7"/>
  <c r="J73" i="7"/>
  <c r="J77" i="7"/>
  <c r="J79" i="7"/>
  <c r="J81" i="7"/>
  <c r="J84" i="7"/>
  <c r="J93" i="7"/>
  <c r="J110" i="7"/>
  <c r="I56" i="7"/>
  <c r="I58" i="7"/>
  <c r="I60" i="7"/>
  <c r="I66" i="7"/>
  <c r="I73" i="7"/>
  <c r="I77" i="7"/>
  <c r="I79" i="7"/>
  <c r="I81" i="7"/>
  <c r="I84" i="7"/>
  <c r="I93" i="7"/>
  <c r="I110" i="7"/>
  <c r="H56" i="7"/>
  <c r="H58" i="7"/>
  <c r="H60" i="7"/>
  <c r="H66" i="7"/>
  <c r="H73" i="7"/>
  <c r="H77" i="7"/>
  <c r="H79" i="7"/>
  <c r="H81" i="7"/>
  <c r="H84" i="7"/>
  <c r="H93" i="7"/>
  <c r="H110" i="7"/>
  <c r="G56" i="7"/>
  <c r="G58" i="7"/>
  <c r="G60" i="7"/>
  <c r="G66" i="7"/>
  <c r="G73" i="7"/>
  <c r="G77" i="7"/>
  <c r="G79" i="7"/>
  <c r="G81" i="7"/>
  <c r="G84" i="7"/>
  <c r="G93" i="7"/>
  <c r="G110" i="7"/>
  <c r="F56" i="7"/>
  <c r="F58" i="7"/>
  <c r="F60" i="7"/>
  <c r="F66" i="7"/>
  <c r="F73" i="7"/>
  <c r="F77" i="7"/>
  <c r="F79" i="7"/>
  <c r="F81" i="7"/>
  <c r="F84" i="7"/>
  <c r="F93" i="7"/>
  <c r="F110" i="7"/>
  <c r="E56" i="7"/>
  <c r="E58" i="7"/>
  <c r="E60" i="7"/>
  <c r="E66" i="7"/>
  <c r="E73" i="7"/>
  <c r="E77" i="7"/>
  <c r="E79" i="7"/>
  <c r="E81" i="7"/>
  <c r="E84" i="7"/>
  <c r="E93" i="7"/>
  <c r="E110" i="7"/>
  <c r="D56" i="7"/>
  <c r="D58" i="7"/>
  <c r="D60" i="7"/>
  <c r="D66" i="7"/>
  <c r="D73" i="7"/>
  <c r="D77" i="7"/>
  <c r="D79" i="7"/>
  <c r="D81" i="7"/>
  <c r="D84" i="7"/>
  <c r="D93" i="7"/>
  <c r="D110" i="7"/>
  <c r="C56" i="7"/>
  <c r="C58" i="7"/>
  <c r="C60" i="7"/>
  <c r="C66" i="7"/>
  <c r="C73" i="7"/>
  <c r="C77" i="7"/>
  <c r="C79" i="7"/>
  <c r="C81" i="7"/>
  <c r="C84" i="7"/>
  <c r="C93" i="7"/>
  <c r="C110" i="7"/>
  <c r="L109" i="7"/>
  <c r="K109" i="7"/>
  <c r="J109" i="7"/>
  <c r="I109" i="7"/>
  <c r="H109" i="7"/>
  <c r="G109" i="7"/>
  <c r="F109" i="7"/>
  <c r="E109" i="7"/>
  <c r="D109" i="7"/>
  <c r="C109" i="7"/>
  <c r="B108" i="7"/>
  <c r="C94" i="7"/>
  <c r="D94" i="7"/>
  <c r="E94" i="7"/>
  <c r="F94" i="7"/>
  <c r="G94" i="7"/>
  <c r="H94" i="7"/>
  <c r="I94" i="7"/>
  <c r="J94" i="7"/>
  <c r="K94" i="7"/>
  <c r="L94" i="7"/>
  <c r="C98" i="7"/>
  <c r="C99" i="7"/>
  <c r="C100" i="7"/>
  <c r="C101" i="7"/>
  <c r="C102" i="7"/>
  <c r="D24" i="7"/>
  <c r="M91" i="7"/>
  <c r="A24" i="7"/>
  <c r="A90" i="7"/>
  <c r="D23" i="7"/>
  <c r="M89" i="7"/>
  <c r="A23" i="7"/>
  <c r="A88" i="7"/>
  <c r="L85" i="7"/>
  <c r="K85" i="7"/>
  <c r="J85" i="7"/>
  <c r="I85" i="7"/>
  <c r="H85" i="7"/>
  <c r="G85" i="7"/>
  <c r="F85" i="7"/>
  <c r="E85" i="7"/>
  <c r="D85" i="7"/>
  <c r="C85" i="7"/>
  <c r="D21" i="7"/>
  <c r="M82" i="7"/>
  <c r="A21" i="7"/>
  <c r="A81" i="7"/>
  <c r="D20" i="7"/>
  <c r="M80" i="7"/>
  <c r="A20" i="7"/>
  <c r="A79" i="7"/>
  <c r="L78" i="7"/>
  <c r="K78" i="7"/>
  <c r="J78" i="7"/>
  <c r="I78" i="7"/>
  <c r="H78" i="7"/>
  <c r="G78" i="7"/>
  <c r="F78" i="7"/>
  <c r="E78" i="7"/>
  <c r="D78" i="7"/>
  <c r="C78" i="7"/>
  <c r="D19" i="7"/>
  <c r="M76" i="7"/>
  <c r="A19" i="7"/>
  <c r="A75" i="7"/>
  <c r="D18" i="7"/>
  <c r="M74" i="7"/>
  <c r="A18" i="7"/>
  <c r="A73" i="7"/>
  <c r="D17" i="7"/>
  <c r="M71" i="7"/>
  <c r="A17" i="7"/>
  <c r="A70" i="7"/>
  <c r="L67" i="7"/>
  <c r="K67" i="7"/>
  <c r="J67" i="7"/>
  <c r="I67" i="7"/>
  <c r="H67" i="7"/>
  <c r="G67" i="7"/>
  <c r="F67" i="7"/>
  <c r="E67" i="7"/>
  <c r="D67" i="7"/>
  <c r="C67" i="7"/>
  <c r="C63" i="7"/>
  <c r="D63" i="7"/>
  <c r="E63" i="7"/>
  <c r="F63" i="7"/>
  <c r="G63" i="7"/>
  <c r="H63" i="7"/>
  <c r="I63" i="7"/>
  <c r="J63" i="7"/>
  <c r="K63" i="7"/>
  <c r="L63" i="7"/>
  <c r="L40" i="7"/>
  <c r="L64" i="7"/>
  <c r="K40" i="7"/>
  <c r="K64" i="7"/>
  <c r="J40" i="7"/>
  <c r="J64" i="7"/>
  <c r="I40" i="7"/>
  <c r="I64" i="7"/>
  <c r="H40" i="7"/>
  <c r="H64" i="7"/>
  <c r="G40" i="7"/>
  <c r="G64" i="7"/>
  <c r="F40" i="7"/>
  <c r="F64" i="7"/>
  <c r="E40" i="7"/>
  <c r="E64" i="7"/>
  <c r="D40" i="7"/>
  <c r="D64" i="7"/>
  <c r="B39" i="7"/>
  <c r="C40" i="7"/>
  <c r="C64" i="7"/>
  <c r="A63" i="7"/>
  <c r="D15" i="7"/>
  <c r="M61" i="7"/>
  <c r="A15" i="7"/>
  <c r="A60" i="7"/>
  <c r="D14" i="7"/>
  <c r="M59" i="7"/>
  <c r="A14" i="7"/>
  <c r="A58" i="7"/>
  <c r="D13" i="7"/>
  <c r="M57" i="7"/>
  <c r="A13" i="7"/>
  <c r="A56" i="7"/>
  <c r="L53" i="7"/>
  <c r="K53" i="7"/>
  <c r="J53" i="7"/>
  <c r="I53" i="7"/>
  <c r="H53" i="7"/>
  <c r="G53" i="7"/>
  <c r="F53" i="7"/>
  <c r="E53" i="7"/>
  <c r="D53" i="7"/>
  <c r="C53" i="7"/>
  <c r="D11" i="7"/>
  <c r="M52" i="7"/>
  <c r="A11" i="7"/>
  <c r="A51" i="7"/>
  <c r="L49" i="7"/>
  <c r="K49" i="7"/>
  <c r="J49" i="7"/>
  <c r="I49" i="7"/>
  <c r="H49" i="7"/>
  <c r="G49" i="7"/>
  <c r="F49" i="7"/>
  <c r="E49" i="7"/>
  <c r="D49" i="7"/>
  <c r="C49" i="7"/>
  <c r="D10" i="7"/>
  <c r="M48" i="7"/>
  <c r="A10" i="7"/>
  <c r="A47" i="7"/>
  <c r="L45" i="7"/>
  <c r="K45" i="7"/>
  <c r="J45" i="7"/>
  <c r="I45" i="7"/>
  <c r="H45" i="7"/>
  <c r="G45" i="7"/>
  <c r="F45" i="7"/>
  <c r="E45" i="7"/>
  <c r="D45" i="7"/>
  <c r="C45" i="7"/>
  <c r="D9" i="7"/>
  <c r="M44" i="7"/>
  <c r="A9" i="7"/>
  <c r="A43" i="7"/>
  <c r="M40" i="7"/>
  <c r="E26" i="7"/>
  <c r="D26" i="7"/>
  <c r="C26" i="7"/>
  <c r="Q22" i="7"/>
  <c r="Q24" i="7"/>
  <c r="H18" i="7"/>
  <c r="N17" i="7"/>
  <c r="M17" i="7"/>
  <c r="L17" i="7"/>
  <c r="J17" i="7"/>
  <c r="I17" i="7"/>
  <c r="H17" i="7"/>
  <c r="N16" i="7"/>
  <c r="M16" i="7"/>
  <c r="L16" i="7"/>
  <c r="J16" i="7"/>
  <c r="I16" i="7"/>
  <c r="H16" i="7"/>
  <c r="N15" i="7"/>
  <c r="M15" i="7"/>
  <c r="L15" i="7"/>
  <c r="J15" i="7"/>
  <c r="I15" i="7"/>
  <c r="H15" i="7"/>
  <c r="N14" i="7"/>
  <c r="M14" i="7"/>
  <c r="L14" i="7"/>
  <c r="J14" i="7"/>
  <c r="I14" i="7"/>
  <c r="H14" i="7"/>
  <c r="C55" i="5"/>
  <c r="H33" i="5"/>
  <c r="H32" i="5"/>
  <c r="G32" i="5"/>
  <c r="G33" i="5"/>
  <c r="G29" i="5"/>
  <c r="G28" i="5"/>
  <c r="G27" i="5"/>
  <c r="G26" i="5"/>
  <c r="G25" i="5"/>
  <c r="G23" i="5"/>
  <c r="G20" i="5"/>
  <c r="G18" i="5"/>
  <c r="G17" i="5"/>
  <c r="G16" i="5"/>
  <c r="G13" i="5"/>
  <c r="F47" i="5"/>
  <c r="F48" i="5"/>
  <c r="F49" i="5"/>
  <c r="F50" i="5"/>
  <c r="F53" i="5"/>
  <c r="F57" i="5"/>
  <c r="F54" i="5"/>
  <c r="F55" i="5"/>
  <c r="F51" i="5"/>
  <c r="F41" i="5"/>
  <c r="F42" i="5"/>
  <c r="F43" i="5"/>
  <c r="F39" i="5"/>
  <c r="F38" i="5"/>
  <c r="F37" i="5"/>
  <c r="F36" i="5"/>
  <c r="F32" i="5"/>
  <c r="F29" i="5"/>
  <c r="F27" i="5"/>
  <c r="F28" i="5"/>
  <c r="F23" i="5"/>
  <c r="F24" i="5"/>
  <c r="F25" i="5"/>
  <c r="F26" i="5"/>
  <c r="F20" i="5"/>
  <c r="F17" i="5"/>
  <c r="F18" i="5"/>
  <c r="F16" i="5"/>
  <c r="F12" i="5"/>
  <c r="F13" i="5"/>
  <c r="F67" i="5"/>
  <c r="F74" i="5"/>
  <c r="F84" i="5"/>
  <c r="F85" i="5"/>
  <c r="F75" i="5"/>
  <c r="F68" i="5"/>
  <c r="F148" i="5"/>
  <c r="F137" i="5"/>
  <c r="F151" i="5"/>
  <c r="F152" i="5"/>
  <c r="F149" i="5"/>
  <c r="F138" i="5"/>
  <c r="F109" i="5"/>
  <c r="F121" i="5"/>
  <c r="F122" i="5"/>
  <c r="F110" i="5"/>
  <c r="F22" i="4"/>
  <c r="G22" i="4"/>
  <c r="F19" i="4"/>
  <c r="G19" i="4"/>
  <c r="F16" i="4"/>
  <c r="G16" i="4"/>
  <c r="F13" i="4"/>
  <c r="G13" i="4"/>
  <c r="F20" i="4"/>
  <c r="F17" i="4"/>
  <c r="F14" i="4"/>
  <c r="F15" i="3"/>
  <c r="F22" i="3"/>
  <c r="F32" i="3"/>
  <c r="F57" i="2"/>
  <c r="F60" i="2"/>
  <c r="F61" i="2"/>
  <c r="F46" i="2"/>
  <c r="F47" i="2"/>
  <c r="F18" i="2"/>
  <c r="F30" i="2"/>
  <c r="I21" i="4"/>
  <c r="I18" i="4"/>
  <c r="I15" i="4"/>
  <c r="I12" i="4"/>
  <c r="C10" i="6"/>
  <c r="B10" i="6"/>
  <c r="C48" i="6"/>
  <c r="B47" i="6"/>
  <c r="C47" i="6"/>
  <c r="D48" i="6"/>
  <c r="D47" i="6"/>
  <c r="E48" i="6"/>
  <c r="E47" i="6"/>
  <c r="F48" i="6"/>
  <c r="F47" i="6"/>
  <c r="G48" i="6"/>
  <c r="G47" i="6"/>
  <c r="H48" i="6"/>
  <c r="H47" i="6"/>
  <c r="I48" i="6"/>
  <c r="I47" i="6"/>
  <c r="J48" i="6"/>
  <c r="J47" i="6"/>
  <c r="K48" i="6"/>
  <c r="K47" i="6"/>
  <c r="L48" i="6"/>
  <c r="L47" i="6"/>
  <c r="B43" i="6"/>
  <c r="D13" i="4"/>
  <c r="E13" i="4"/>
  <c r="C9" i="6"/>
  <c r="B9" i="6"/>
  <c r="C44" i="6"/>
  <c r="C43" i="6"/>
  <c r="D44" i="6"/>
  <c r="D43" i="6"/>
  <c r="E44" i="6"/>
  <c r="E43" i="6"/>
  <c r="F44" i="6"/>
  <c r="F43" i="6"/>
  <c r="G44" i="6"/>
  <c r="G43" i="6"/>
  <c r="H44" i="6"/>
  <c r="H43" i="6"/>
  <c r="I44" i="6"/>
  <c r="I43" i="6"/>
  <c r="J44" i="6"/>
  <c r="J43" i="6"/>
  <c r="K44" i="6"/>
  <c r="K43" i="6"/>
  <c r="L44" i="6"/>
  <c r="L43" i="6"/>
  <c r="B51" i="6"/>
  <c r="C11" i="6"/>
  <c r="B11" i="6"/>
  <c r="C52" i="6"/>
  <c r="C51" i="6"/>
  <c r="D52" i="6"/>
  <c r="D51" i="6"/>
  <c r="E52" i="6"/>
  <c r="E51" i="6"/>
  <c r="F52" i="6"/>
  <c r="F51" i="6"/>
  <c r="G52" i="6"/>
  <c r="G51" i="6"/>
  <c r="H52" i="6"/>
  <c r="H51" i="6"/>
  <c r="I52" i="6"/>
  <c r="I51" i="6"/>
  <c r="J52" i="6"/>
  <c r="J51" i="6"/>
  <c r="K52" i="6"/>
  <c r="K51" i="6"/>
  <c r="L52" i="6"/>
  <c r="L51" i="6"/>
  <c r="L39" i="6"/>
  <c r="C13" i="6"/>
  <c r="B13" i="6"/>
  <c r="C57" i="6"/>
  <c r="D57" i="6"/>
  <c r="E57" i="6"/>
  <c r="F57" i="6"/>
  <c r="G57" i="6"/>
  <c r="H57" i="6"/>
  <c r="I57" i="6"/>
  <c r="J57" i="6"/>
  <c r="K57" i="6"/>
  <c r="L57" i="6"/>
  <c r="L56" i="6"/>
  <c r="C14" i="6"/>
  <c r="B14" i="6"/>
  <c r="C59" i="6"/>
  <c r="D59" i="6"/>
  <c r="E59" i="6"/>
  <c r="F59" i="6"/>
  <c r="G59" i="6"/>
  <c r="H59" i="6"/>
  <c r="I59" i="6"/>
  <c r="J59" i="6"/>
  <c r="K59" i="6"/>
  <c r="L59" i="6"/>
  <c r="L58" i="6"/>
  <c r="C15" i="6"/>
  <c r="B15" i="6"/>
  <c r="C61" i="6"/>
  <c r="D61" i="6"/>
  <c r="E61" i="6"/>
  <c r="F61" i="6"/>
  <c r="G61" i="6"/>
  <c r="H61" i="6"/>
  <c r="I61" i="6"/>
  <c r="J61" i="6"/>
  <c r="K61" i="6"/>
  <c r="L61" i="6"/>
  <c r="L60" i="6"/>
  <c r="L66" i="6"/>
  <c r="L73" i="6"/>
  <c r="C19" i="6"/>
  <c r="B19" i="6"/>
  <c r="C76" i="6"/>
  <c r="D76" i="6"/>
  <c r="E76" i="6"/>
  <c r="F76" i="6"/>
  <c r="G76" i="6"/>
  <c r="H76" i="6"/>
  <c r="I76" i="6"/>
  <c r="J76" i="6"/>
  <c r="K76" i="6"/>
  <c r="L76" i="6"/>
  <c r="L75" i="6"/>
  <c r="B72" i="6"/>
  <c r="C17" i="6"/>
  <c r="B17" i="6"/>
  <c r="B71" i="6"/>
  <c r="C71" i="6"/>
  <c r="C70" i="6"/>
  <c r="C72" i="6"/>
  <c r="D71" i="6"/>
  <c r="D70" i="6"/>
  <c r="D72" i="6"/>
  <c r="E71" i="6"/>
  <c r="E70" i="6"/>
  <c r="E72" i="6"/>
  <c r="F71" i="6"/>
  <c r="F70" i="6"/>
  <c r="F72" i="6"/>
  <c r="G71" i="6"/>
  <c r="G70" i="6"/>
  <c r="G72" i="6"/>
  <c r="H71" i="6"/>
  <c r="H70" i="6"/>
  <c r="H72" i="6"/>
  <c r="I71" i="6"/>
  <c r="I70" i="6"/>
  <c r="I72" i="6"/>
  <c r="J71" i="6"/>
  <c r="J70" i="6"/>
  <c r="J72" i="6"/>
  <c r="K71" i="6"/>
  <c r="K70" i="6"/>
  <c r="K72" i="6"/>
  <c r="L70" i="6"/>
  <c r="L77" i="6"/>
  <c r="C20" i="6"/>
  <c r="B20" i="6"/>
  <c r="C80" i="6"/>
  <c r="D80" i="6"/>
  <c r="E80" i="6"/>
  <c r="F80" i="6"/>
  <c r="G80" i="6"/>
  <c r="H80" i="6"/>
  <c r="I80" i="6"/>
  <c r="J80" i="6"/>
  <c r="K80" i="6"/>
  <c r="L80" i="6"/>
  <c r="L79" i="6"/>
  <c r="C21" i="6"/>
  <c r="B21" i="6"/>
  <c r="C82" i="6"/>
  <c r="D82" i="6"/>
  <c r="E82" i="6"/>
  <c r="F82" i="6"/>
  <c r="G82" i="6"/>
  <c r="H82" i="6"/>
  <c r="I82" i="6"/>
  <c r="J82" i="6"/>
  <c r="K82" i="6"/>
  <c r="L82" i="6"/>
  <c r="L81" i="6"/>
  <c r="L84" i="6"/>
  <c r="C23" i="6"/>
  <c r="B23" i="6"/>
  <c r="C89" i="6"/>
  <c r="D89" i="6"/>
  <c r="E89" i="6"/>
  <c r="F89" i="6"/>
  <c r="G89" i="6"/>
  <c r="H89" i="6"/>
  <c r="I89" i="6"/>
  <c r="J89" i="6"/>
  <c r="K89" i="6"/>
  <c r="L89" i="6"/>
  <c r="L88" i="6"/>
  <c r="C24" i="6"/>
  <c r="B24" i="6"/>
  <c r="C91" i="6"/>
  <c r="D91" i="6"/>
  <c r="E91" i="6"/>
  <c r="F91" i="6"/>
  <c r="G91" i="6"/>
  <c r="H91" i="6"/>
  <c r="I91" i="6"/>
  <c r="J91" i="6"/>
  <c r="K91" i="6"/>
  <c r="L91" i="6"/>
  <c r="L90" i="6"/>
  <c r="L93" i="6"/>
  <c r="L94" i="6"/>
  <c r="C39" i="6"/>
  <c r="C56" i="6"/>
  <c r="C58" i="6"/>
  <c r="C60" i="6"/>
  <c r="C66" i="6"/>
  <c r="C18" i="6"/>
  <c r="B18" i="6"/>
  <c r="C74" i="6"/>
  <c r="C73" i="6"/>
  <c r="C75" i="6"/>
  <c r="C77" i="6"/>
  <c r="C79" i="6"/>
  <c r="C81" i="6"/>
  <c r="C84" i="6"/>
  <c r="C88" i="6"/>
  <c r="C90" i="6"/>
  <c r="C93" i="6"/>
  <c r="C94" i="6"/>
  <c r="D39" i="6"/>
  <c r="D56" i="6"/>
  <c r="D58" i="6"/>
  <c r="D60" i="6"/>
  <c r="D66" i="6"/>
  <c r="D74" i="6"/>
  <c r="D73" i="6"/>
  <c r="D75" i="6"/>
  <c r="D77" i="6"/>
  <c r="D79" i="6"/>
  <c r="D81" i="6"/>
  <c r="D84" i="6"/>
  <c r="D88" i="6"/>
  <c r="D90" i="6"/>
  <c r="D93" i="6"/>
  <c r="D94" i="6"/>
  <c r="E39" i="6"/>
  <c r="E56" i="6"/>
  <c r="E58" i="6"/>
  <c r="E60" i="6"/>
  <c r="E66" i="6"/>
  <c r="E74" i="6"/>
  <c r="E73" i="6"/>
  <c r="E75" i="6"/>
  <c r="E77" i="6"/>
  <c r="E79" i="6"/>
  <c r="E81" i="6"/>
  <c r="E84" i="6"/>
  <c r="E88" i="6"/>
  <c r="E90" i="6"/>
  <c r="E93" i="6"/>
  <c r="E94" i="6"/>
  <c r="F39" i="6"/>
  <c r="F56" i="6"/>
  <c r="F58" i="6"/>
  <c r="F60" i="6"/>
  <c r="F66" i="6"/>
  <c r="F74" i="6"/>
  <c r="F73" i="6"/>
  <c r="F75" i="6"/>
  <c r="F77" i="6"/>
  <c r="F79" i="6"/>
  <c r="F81" i="6"/>
  <c r="F84" i="6"/>
  <c r="F88" i="6"/>
  <c r="F90" i="6"/>
  <c r="F93" i="6"/>
  <c r="F94" i="6"/>
  <c r="G39" i="6"/>
  <c r="G56" i="6"/>
  <c r="G58" i="6"/>
  <c r="G60" i="6"/>
  <c r="G66" i="6"/>
  <c r="G74" i="6"/>
  <c r="G73" i="6"/>
  <c r="G75" i="6"/>
  <c r="G77" i="6"/>
  <c r="G79" i="6"/>
  <c r="G81" i="6"/>
  <c r="G84" i="6"/>
  <c r="G88" i="6"/>
  <c r="G90" i="6"/>
  <c r="G93" i="6"/>
  <c r="G94" i="6"/>
  <c r="H39" i="6"/>
  <c r="H56" i="6"/>
  <c r="H58" i="6"/>
  <c r="H60" i="6"/>
  <c r="H66" i="6"/>
  <c r="H74" i="6"/>
  <c r="H73" i="6"/>
  <c r="H75" i="6"/>
  <c r="H77" i="6"/>
  <c r="H79" i="6"/>
  <c r="H81" i="6"/>
  <c r="H84" i="6"/>
  <c r="H88" i="6"/>
  <c r="H90" i="6"/>
  <c r="H93" i="6"/>
  <c r="H94" i="6"/>
  <c r="I39" i="6"/>
  <c r="I56" i="6"/>
  <c r="I58" i="6"/>
  <c r="I60" i="6"/>
  <c r="I66" i="6"/>
  <c r="I74" i="6"/>
  <c r="I73" i="6"/>
  <c r="I75" i="6"/>
  <c r="I77" i="6"/>
  <c r="I79" i="6"/>
  <c r="I81" i="6"/>
  <c r="I84" i="6"/>
  <c r="I88" i="6"/>
  <c r="I90" i="6"/>
  <c r="I93" i="6"/>
  <c r="I94" i="6"/>
  <c r="J39" i="6"/>
  <c r="J56" i="6"/>
  <c r="J58" i="6"/>
  <c r="J60" i="6"/>
  <c r="J66" i="6"/>
  <c r="J74" i="6"/>
  <c r="J73" i="6"/>
  <c r="J75" i="6"/>
  <c r="J77" i="6"/>
  <c r="J79" i="6"/>
  <c r="J81" i="6"/>
  <c r="J84" i="6"/>
  <c r="J88" i="6"/>
  <c r="J90" i="6"/>
  <c r="J93" i="6"/>
  <c r="J94" i="6"/>
  <c r="K39" i="6"/>
  <c r="K56" i="6"/>
  <c r="K58" i="6"/>
  <c r="K60" i="6"/>
  <c r="K66" i="6"/>
  <c r="K74" i="6"/>
  <c r="K73" i="6"/>
  <c r="K75" i="6"/>
  <c r="K77" i="6"/>
  <c r="K79" i="6"/>
  <c r="K81" i="6"/>
  <c r="K84" i="6"/>
  <c r="K88" i="6"/>
  <c r="K90" i="6"/>
  <c r="K93" i="6"/>
  <c r="K94" i="6"/>
  <c r="C98" i="6"/>
  <c r="H18" i="6"/>
  <c r="N17" i="6"/>
  <c r="M17" i="6"/>
  <c r="L17" i="6"/>
  <c r="N16" i="6"/>
  <c r="M16" i="6"/>
  <c r="L16" i="6"/>
  <c r="N15" i="6"/>
  <c r="M15" i="6"/>
  <c r="L15" i="6"/>
  <c r="N14" i="6"/>
  <c r="M14" i="6"/>
  <c r="L14" i="6"/>
  <c r="B106" i="6"/>
  <c r="C106" i="6"/>
  <c r="B107" i="6"/>
  <c r="C107" i="6"/>
  <c r="C108" i="6"/>
  <c r="C112" i="6"/>
  <c r="D106" i="6"/>
  <c r="D107" i="6"/>
  <c r="D108" i="6"/>
  <c r="D112" i="6"/>
  <c r="E106" i="6"/>
  <c r="E107" i="6"/>
  <c r="E108" i="6"/>
  <c r="E112" i="6"/>
  <c r="F106" i="6"/>
  <c r="F107" i="6"/>
  <c r="F108" i="6"/>
  <c r="F112" i="6"/>
  <c r="G106" i="6"/>
  <c r="G107" i="6"/>
  <c r="G108" i="6"/>
  <c r="G112" i="6"/>
  <c r="H106" i="6"/>
  <c r="H107" i="6"/>
  <c r="H108" i="6"/>
  <c r="H112" i="6"/>
  <c r="I106" i="6"/>
  <c r="I107" i="6"/>
  <c r="I108" i="6"/>
  <c r="I112" i="6"/>
  <c r="J106" i="6"/>
  <c r="J107" i="6"/>
  <c r="J108" i="6"/>
  <c r="J112" i="6"/>
  <c r="K106" i="6"/>
  <c r="K107" i="6"/>
  <c r="K108" i="6"/>
  <c r="K112" i="6"/>
  <c r="L106" i="6"/>
  <c r="L107" i="6"/>
  <c r="L108" i="6"/>
  <c r="L112" i="6"/>
  <c r="J17" i="6"/>
  <c r="C111" i="6"/>
  <c r="D111" i="6"/>
  <c r="E111" i="6"/>
  <c r="F111" i="6"/>
  <c r="G111" i="6"/>
  <c r="H111" i="6"/>
  <c r="I111" i="6"/>
  <c r="J111" i="6"/>
  <c r="K111" i="6"/>
  <c r="L111" i="6"/>
  <c r="J16" i="6"/>
  <c r="L110" i="6"/>
  <c r="C110" i="6"/>
  <c r="D110" i="6"/>
  <c r="E110" i="6"/>
  <c r="F110" i="6"/>
  <c r="G110" i="6"/>
  <c r="H110" i="6"/>
  <c r="I110" i="6"/>
  <c r="J110" i="6"/>
  <c r="K110" i="6"/>
  <c r="J15" i="6"/>
  <c r="L109" i="6"/>
  <c r="C109" i="6"/>
  <c r="D109" i="6"/>
  <c r="E109" i="6"/>
  <c r="F109" i="6"/>
  <c r="G109" i="6"/>
  <c r="H109" i="6"/>
  <c r="I109" i="6"/>
  <c r="J109" i="6"/>
  <c r="K109" i="6"/>
  <c r="J14" i="6"/>
  <c r="I17" i="6"/>
  <c r="I16" i="6"/>
  <c r="I15" i="6"/>
  <c r="I14" i="6"/>
  <c r="H17" i="6"/>
  <c r="H16" i="6"/>
  <c r="H15" i="6"/>
  <c r="H14" i="6"/>
  <c r="B108" i="6"/>
  <c r="C85" i="6"/>
  <c r="C99" i="6"/>
  <c r="C100" i="6"/>
  <c r="C101" i="6"/>
  <c r="C102" i="6"/>
  <c r="Q22" i="6"/>
  <c r="Q24" i="6"/>
  <c r="B37" i="4"/>
  <c r="B36" i="4"/>
  <c r="B33" i="4"/>
  <c r="B30" i="4"/>
  <c r="B12" i="5"/>
  <c r="B16" i="5"/>
  <c r="C12" i="5"/>
  <c r="C16" i="5"/>
  <c r="D12" i="5"/>
  <c r="D16" i="5"/>
  <c r="E12" i="5"/>
  <c r="E16" i="5"/>
  <c r="C13" i="4"/>
  <c r="B17" i="5"/>
  <c r="C17" i="5"/>
  <c r="D17" i="5"/>
  <c r="E17" i="5"/>
  <c r="B18" i="5"/>
  <c r="C18" i="5"/>
  <c r="D18" i="5"/>
  <c r="E18" i="5"/>
  <c r="B23" i="5"/>
  <c r="C23" i="5"/>
  <c r="D23" i="5"/>
  <c r="B24" i="5"/>
  <c r="C24" i="5"/>
  <c r="D24" i="5"/>
  <c r="E24" i="5"/>
  <c r="B27" i="5"/>
  <c r="B28" i="5"/>
  <c r="C27" i="5"/>
  <c r="C28" i="5"/>
  <c r="D27" i="5"/>
  <c r="D28" i="5"/>
  <c r="E27" i="5"/>
  <c r="E28" i="5"/>
  <c r="B25" i="5"/>
  <c r="C25" i="5"/>
  <c r="D25" i="5"/>
  <c r="E25" i="5"/>
  <c r="B29" i="5"/>
  <c r="C29" i="5"/>
  <c r="D29" i="5"/>
  <c r="E29" i="5"/>
  <c r="C109" i="5"/>
  <c r="C47" i="5"/>
  <c r="C48" i="5"/>
  <c r="C49" i="5"/>
  <c r="C50" i="5"/>
  <c r="B109" i="5"/>
  <c r="B47" i="5"/>
  <c r="B48" i="5"/>
  <c r="B49" i="5"/>
  <c r="B50" i="5"/>
  <c r="C51" i="5"/>
  <c r="C32" i="5"/>
  <c r="D109" i="5"/>
  <c r="D47" i="5"/>
  <c r="D48" i="5"/>
  <c r="D49" i="5"/>
  <c r="D50" i="5"/>
  <c r="D51" i="5"/>
  <c r="D32" i="5"/>
  <c r="E109" i="5"/>
  <c r="E47" i="5"/>
  <c r="E48" i="5"/>
  <c r="E49" i="5"/>
  <c r="E50" i="5"/>
  <c r="E51" i="5"/>
  <c r="E32" i="5"/>
  <c r="C53" i="5"/>
  <c r="B53" i="5"/>
  <c r="C54" i="5"/>
  <c r="C33" i="5"/>
  <c r="D53" i="5"/>
  <c r="D54" i="5"/>
  <c r="D55" i="5"/>
  <c r="D33" i="5"/>
  <c r="E53" i="5"/>
  <c r="E54" i="5"/>
  <c r="E55" i="5"/>
  <c r="E33" i="5"/>
  <c r="D24" i="6"/>
  <c r="M91" i="6"/>
  <c r="D23" i="6"/>
  <c r="M89" i="6"/>
  <c r="H29" i="5"/>
  <c r="D21" i="6"/>
  <c r="M82" i="6"/>
  <c r="H28" i="5"/>
  <c r="D20" i="6"/>
  <c r="M80" i="6"/>
  <c r="H25" i="5"/>
  <c r="D19" i="6"/>
  <c r="M76" i="6"/>
  <c r="H24" i="5"/>
  <c r="D18" i="6"/>
  <c r="M74" i="6"/>
  <c r="H23" i="5"/>
  <c r="D17" i="6"/>
  <c r="M71" i="6"/>
  <c r="H18" i="5"/>
  <c r="D15" i="6"/>
  <c r="M61" i="6"/>
  <c r="H17" i="5"/>
  <c r="D14" i="6"/>
  <c r="M59" i="6"/>
  <c r="H16" i="5"/>
  <c r="D13" i="6"/>
  <c r="M57" i="6"/>
  <c r="C19" i="4"/>
  <c r="D19" i="4"/>
  <c r="E19" i="4"/>
  <c r="H19" i="4"/>
  <c r="D11" i="6"/>
  <c r="M52" i="6"/>
  <c r="C16" i="4"/>
  <c r="D16" i="4"/>
  <c r="E16" i="4"/>
  <c r="H16" i="4"/>
  <c r="D10" i="6"/>
  <c r="M48" i="6"/>
  <c r="H13" i="4"/>
  <c r="D9" i="6"/>
  <c r="M44" i="6"/>
  <c r="C13" i="5"/>
  <c r="D13" i="5"/>
  <c r="E13" i="5"/>
  <c r="H13" i="5"/>
  <c r="M40" i="6"/>
  <c r="L53" i="6"/>
  <c r="K53" i="6"/>
  <c r="J53" i="6"/>
  <c r="I53" i="6"/>
  <c r="H53" i="6"/>
  <c r="G53" i="6"/>
  <c r="F53" i="6"/>
  <c r="E53" i="6"/>
  <c r="D53" i="6"/>
  <c r="C53" i="6"/>
  <c r="L49" i="6"/>
  <c r="K49" i="6"/>
  <c r="J49" i="6"/>
  <c r="I49" i="6"/>
  <c r="H49" i="6"/>
  <c r="G49" i="6"/>
  <c r="F49" i="6"/>
  <c r="E49" i="6"/>
  <c r="D49" i="6"/>
  <c r="C49" i="6"/>
  <c r="L45" i="6"/>
  <c r="K45" i="6"/>
  <c r="J45" i="6"/>
  <c r="I45" i="6"/>
  <c r="H45" i="6"/>
  <c r="G45" i="6"/>
  <c r="F45" i="6"/>
  <c r="E45" i="6"/>
  <c r="D45" i="6"/>
  <c r="C45" i="6"/>
  <c r="L85" i="6"/>
  <c r="K85" i="6"/>
  <c r="J85" i="6"/>
  <c r="I85" i="6"/>
  <c r="H85" i="6"/>
  <c r="G85" i="6"/>
  <c r="F85" i="6"/>
  <c r="E85" i="6"/>
  <c r="D85" i="6"/>
  <c r="L78" i="6"/>
  <c r="K78" i="6"/>
  <c r="J78" i="6"/>
  <c r="I78" i="6"/>
  <c r="H78" i="6"/>
  <c r="G78" i="6"/>
  <c r="F78" i="6"/>
  <c r="E78" i="6"/>
  <c r="D78" i="6"/>
  <c r="C78" i="6"/>
  <c r="L67" i="6"/>
  <c r="K67" i="6"/>
  <c r="J67" i="6"/>
  <c r="I67" i="6"/>
  <c r="H67" i="6"/>
  <c r="G67" i="6"/>
  <c r="F67" i="6"/>
  <c r="E67" i="6"/>
  <c r="D67" i="6"/>
  <c r="C67" i="6"/>
  <c r="C63" i="6"/>
  <c r="D63" i="6"/>
  <c r="E63" i="6"/>
  <c r="F63" i="6"/>
  <c r="G63" i="6"/>
  <c r="H63" i="6"/>
  <c r="I63" i="6"/>
  <c r="J63" i="6"/>
  <c r="K63" i="6"/>
  <c r="L63" i="6"/>
  <c r="L40" i="6"/>
  <c r="L64" i="6"/>
  <c r="K40" i="6"/>
  <c r="K64" i="6"/>
  <c r="J40" i="6"/>
  <c r="J64" i="6"/>
  <c r="I40" i="6"/>
  <c r="I64" i="6"/>
  <c r="H40" i="6"/>
  <c r="H64" i="6"/>
  <c r="G40" i="6"/>
  <c r="G64" i="6"/>
  <c r="F40" i="6"/>
  <c r="F64" i="6"/>
  <c r="E40" i="6"/>
  <c r="E64" i="6"/>
  <c r="D40" i="6"/>
  <c r="D64" i="6"/>
  <c r="B39" i="6"/>
  <c r="C40" i="6"/>
  <c r="C64" i="6"/>
  <c r="A24" i="6"/>
  <c r="A90" i="6"/>
  <c r="A23" i="6"/>
  <c r="A88" i="6"/>
  <c r="A29" i="5"/>
  <c r="A21" i="6"/>
  <c r="A81" i="6"/>
  <c r="A28" i="5"/>
  <c r="A20" i="6"/>
  <c r="A79" i="6"/>
  <c r="A25" i="5"/>
  <c r="A19" i="6"/>
  <c r="A75" i="6"/>
  <c r="A24" i="5"/>
  <c r="A18" i="6"/>
  <c r="A73" i="6"/>
  <c r="A23" i="5"/>
  <c r="A17" i="6"/>
  <c r="A70" i="6"/>
  <c r="A63" i="6"/>
  <c r="A18" i="5"/>
  <c r="A15" i="6"/>
  <c r="A60" i="6"/>
  <c r="A17" i="5"/>
  <c r="A14" i="6"/>
  <c r="A58" i="6"/>
  <c r="A16" i="5"/>
  <c r="A13" i="6"/>
  <c r="A56" i="6"/>
  <c r="A11" i="6"/>
  <c r="A51" i="6"/>
  <c r="A10" i="6"/>
  <c r="A47" i="6"/>
  <c r="A9" i="6"/>
  <c r="A43" i="6"/>
  <c r="C41" i="5"/>
  <c r="B41" i="5"/>
  <c r="C42" i="5"/>
  <c r="C43" i="5"/>
  <c r="D41" i="5"/>
  <c r="D42" i="5"/>
  <c r="D43" i="5"/>
  <c r="E41" i="5"/>
  <c r="E42" i="5"/>
  <c r="E43" i="5"/>
  <c r="I43" i="5"/>
  <c r="E26" i="6"/>
  <c r="H43" i="5"/>
  <c r="D26" i="6"/>
  <c r="G43" i="5"/>
  <c r="C26" i="6"/>
  <c r="H27" i="5"/>
  <c r="B26" i="5"/>
  <c r="C26" i="5"/>
  <c r="D26" i="5"/>
  <c r="E26" i="5"/>
  <c r="H26" i="5"/>
  <c r="B20" i="5"/>
  <c r="C20" i="5"/>
  <c r="D20" i="5"/>
  <c r="E20" i="5"/>
  <c r="H20" i="5"/>
  <c r="B57" i="5"/>
  <c r="B39" i="5"/>
  <c r="C57" i="5"/>
  <c r="C39" i="5"/>
  <c r="D57" i="5"/>
  <c r="D39" i="5"/>
  <c r="E57" i="5"/>
  <c r="E39" i="5"/>
  <c r="I39" i="5"/>
  <c r="B38" i="5"/>
  <c r="C38" i="5"/>
  <c r="D38" i="5"/>
  <c r="E38" i="5"/>
  <c r="I38" i="5"/>
  <c r="B37" i="5"/>
  <c r="C37" i="5"/>
  <c r="D37" i="5"/>
  <c r="E37" i="5"/>
  <c r="I37" i="5"/>
  <c r="B36" i="5"/>
  <c r="C36" i="5"/>
  <c r="D36" i="5"/>
  <c r="E36" i="5"/>
  <c r="I36" i="5"/>
  <c r="H39" i="5"/>
  <c r="H38" i="5"/>
  <c r="H37" i="5"/>
  <c r="H36" i="5"/>
  <c r="G39" i="5"/>
  <c r="G38" i="5"/>
  <c r="G37" i="5"/>
  <c r="G36" i="5"/>
  <c r="B54" i="5"/>
  <c r="E15" i="3"/>
  <c r="E22" i="3"/>
  <c r="E32" i="3"/>
  <c r="D15" i="3"/>
  <c r="D22" i="3"/>
  <c r="D32" i="3"/>
  <c r="C15" i="3"/>
  <c r="C22" i="3"/>
  <c r="C32" i="3"/>
  <c r="B15" i="3"/>
  <c r="B22" i="3"/>
  <c r="B32" i="3"/>
  <c r="B33" i="3"/>
  <c r="E148" i="5"/>
  <c r="E149" i="5"/>
  <c r="D148" i="5"/>
  <c r="C148" i="5"/>
  <c r="C149" i="5"/>
  <c r="B148" i="5"/>
  <c r="B149" i="5"/>
  <c r="E137" i="5"/>
  <c r="D137" i="5"/>
  <c r="D138" i="5"/>
  <c r="C137" i="5"/>
  <c r="C138" i="5"/>
  <c r="B137" i="5"/>
  <c r="B138" i="5"/>
  <c r="E110" i="5"/>
  <c r="D110" i="5"/>
  <c r="C110" i="5"/>
  <c r="B110" i="5"/>
  <c r="E67" i="5"/>
  <c r="E74" i="5"/>
  <c r="E84" i="5"/>
  <c r="D67" i="5"/>
  <c r="D74" i="5"/>
  <c r="D84" i="5"/>
  <c r="C67" i="5"/>
  <c r="C68" i="5"/>
  <c r="B67" i="5"/>
  <c r="B68" i="5"/>
  <c r="B21" i="4"/>
  <c r="J13" i="4"/>
  <c r="C29" i="4"/>
  <c r="C28" i="4"/>
  <c r="D29" i="4"/>
  <c r="D28" i="4"/>
  <c r="E29" i="4"/>
  <c r="E28" i="4"/>
  <c r="G29" i="4"/>
  <c r="G28" i="4"/>
  <c r="H29" i="4"/>
  <c r="H28" i="4"/>
  <c r="I29" i="4"/>
  <c r="I28" i="4"/>
  <c r="J29" i="4"/>
  <c r="J28" i="4"/>
  <c r="K29" i="4"/>
  <c r="K28" i="4"/>
  <c r="L29" i="4"/>
  <c r="L28" i="4"/>
  <c r="M29" i="4"/>
  <c r="M28" i="4"/>
  <c r="N29" i="4"/>
  <c r="F33" i="3"/>
  <c r="E33" i="3"/>
  <c r="D33" i="3"/>
  <c r="C33" i="3"/>
  <c r="F23" i="3"/>
  <c r="E23" i="3"/>
  <c r="D23" i="3"/>
  <c r="C23" i="3"/>
  <c r="B23" i="3"/>
  <c r="F16" i="3"/>
  <c r="E16" i="3"/>
  <c r="D16" i="3"/>
  <c r="C16" i="3"/>
  <c r="B16" i="3"/>
  <c r="F58" i="2"/>
  <c r="C57" i="2"/>
  <c r="C46" i="2"/>
  <c r="C60" i="2"/>
  <c r="C61" i="2"/>
  <c r="C58" i="2"/>
  <c r="E57" i="2"/>
  <c r="E58" i="2"/>
  <c r="D57" i="2"/>
  <c r="B57" i="2"/>
  <c r="B46" i="2"/>
  <c r="B60" i="2"/>
  <c r="B61" i="2"/>
  <c r="C47" i="2"/>
  <c r="B47" i="2"/>
  <c r="E46" i="2"/>
  <c r="E47" i="2"/>
  <c r="D46" i="2"/>
  <c r="D47" i="2"/>
  <c r="F31" i="2"/>
  <c r="E18" i="2"/>
  <c r="E19" i="2"/>
  <c r="D18" i="2"/>
  <c r="D19" i="2"/>
  <c r="C18" i="2"/>
  <c r="C19" i="2"/>
  <c r="B18" i="2"/>
  <c r="B19" i="2"/>
  <c r="J19" i="4"/>
  <c r="C35" i="4"/>
  <c r="D35" i="4"/>
  <c r="E35" i="4"/>
  <c r="G35" i="4"/>
  <c r="H35" i="4"/>
  <c r="I35" i="4"/>
  <c r="J35" i="4"/>
  <c r="K35" i="4"/>
  <c r="L35" i="4"/>
  <c r="M35" i="4"/>
  <c r="C21" i="4"/>
  <c r="E17" i="4"/>
  <c r="D17" i="4"/>
  <c r="B17" i="4"/>
  <c r="E20" i="4"/>
  <c r="D20" i="4"/>
  <c r="E14" i="4"/>
  <c r="D14" i="4"/>
  <c r="B14" i="4"/>
  <c r="E22" i="4"/>
  <c r="D68" i="5"/>
  <c r="D60" i="2"/>
  <c r="D61" i="2"/>
  <c r="B58" i="2"/>
  <c r="E60" i="2"/>
  <c r="E61" i="2"/>
  <c r="D58" i="2"/>
  <c r="C121" i="5"/>
  <c r="C122" i="5"/>
  <c r="B121" i="5"/>
  <c r="B122" i="5"/>
  <c r="E151" i="5"/>
  <c r="E152" i="5"/>
  <c r="D151" i="5"/>
  <c r="D152" i="5"/>
  <c r="E68" i="5"/>
  <c r="C151" i="5"/>
  <c r="C152" i="5"/>
  <c r="B151" i="5"/>
  <c r="B152" i="5"/>
  <c r="E138" i="5"/>
  <c r="D149" i="5"/>
  <c r="D121" i="5"/>
  <c r="D122" i="5"/>
  <c r="E121" i="5"/>
  <c r="E122" i="5"/>
  <c r="D85" i="5"/>
  <c r="D75" i="5"/>
  <c r="E75" i="5"/>
  <c r="E85" i="5"/>
  <c r="B74" i="5"/>
  <c r="B84" i="5"/>
  <c r="C74" i="5"/>
  <c r="C84" i="5"/>
  <c r="B20" i="4"/>
  <c r="C22" i="4"/>
  <c r="C34" i="4"/>
  <c r="D34" i="4"/>
  <c r="E34" i="4"/>
  <c r="G34" i="4"/>
  <c r="H34" i="4"/>
  <c r="I34" i="4"/>
  <c r="J34" i="4"/>
  <c r="K34" i="4"/>
  <c r="L34" i="4"/>
  <c r="M34" i="4"/>
  <c r="N35" i="4"/>
  <c r="J16" i="4"/>
  <c r="C32" i="4"/>
  <c r="D32" i="4"/>
  <c r="D22" i="4"/>
  <c r="C20" i="4"/>
  <c r="F19" i="2"/>
  <c r="B30" i="2"/>
  <c r="B31" i="2"/>
  <c r="C30" i="2"/>
  <c r="C31" i="2"/>
  <c r="D30" i="2"/>
  <c r="D31" i="2"/>
  <c r="E30" i="2"/>
  <c r="E31" i="2"/>
  <c r="C14" i="4"/>
  <c r="C17" i="4"/>
  <c r="B75" i="5"/>
  <c r="B85" i="5"/>
  <c r="C75" i="5"/>
  <c r="C85" i="5"/>
  <c r="H22" i="4"/>
  <c r="E32" i="4"/>
  <c r="G32" i="4"/>
  <c r="H32" i="4"/>
  <c r="I32" i="4"/>
  <c r="J32" i="4"/>
  <c r="K32" i="4"/>
  <c r="L32" i="4"/>
  <c r="M32" i="4"/>
  <c r="C31" i="4"/>
  <c r="J22" i="4"/>
  <c r="C37" i="4"/>
  <c r="D31" i="4"/>
  <c r="D37" i="4"/>
  <c r="E31" i="4"/>
  <c r="C30" i="4"/>
  <c r="C36" i="4"/>
  <c r="C38" i="4"/>
  <c r="C33" i="4"/>
  <c r="G31" i="4"/>
  <c r="E37" i="4"/>
  <c r="D36" i="4"/>
  <c r="D30" i="4"/>
  <c r="D38" i="4"/>
  <c r="D33" i="4"/>
  <c r="H31" i="4"/>
  <c r="G37" i="4"/>
  <c r="E33" i="4"/>
  <c r="E38" i="4"/>
  <c r="E36" i="4"/>
  <c r="E30" i="4"/>
  <c r="I31" i="4"/>
  <c r="H37" i="4"/>
  <c r="G33" i="4"/>
  <c r="G30" i="4"/>
  <c r="G38" i="4"/>
  <c r="G36" i="4"/>
  <c r="J31" i="4"/>
  <c r="I37" i="4"/>
  <c r="I33" i="4"/>
  <c r="H33" i="4"/>
  <c r="H36" i="4"/>
  <c r="H30" i="4"/>
  <c r="H38" i="4"/>
  <c r="I38" i="4"/>
  <c r="I30" i="4"/>
  <c r="I36" i="4"/>
  <c r="K31" i="4"/>
  <c r="J37" i="4"/>
  <c r="J36" i="4"/>
  <c r="J38" i="4"/>
  <c r="J30" i="4"/>
  <c r="L31" i="4"/>
  <c r="K37" i="4"/>
  <c r="J33" i="4"/>
  <c r="K38" i="4"/>
  <c r="K36" i="4"/>
  <c r="K30" i="4"/>
  <c r="M31" i="4"/>
  <c r="L37" i="4"/>
  <c r="K33" i="4"/>
  <c r="L36" i="4"/>
  <c r="L38" i="4"/>
  <c r="L30" i="4"/>
  <c r="L33" i="4"/>
  <c r="N32" i="4"/>
  <c r="M37" i="4"/>
  <c r="N37" i="4"/>
  <c r="M36" i="4"/>
  <c r="M38" i="4"/>
  <c r="M30" i="4"/>
  <c r="M33" i="4"/>
</calcChain>
</file>

<file path=xl/sharedStrings.xml><?xml version="1.0" encoding="utf-8"?>
<sst xmlns="http://schemas.openxmlformats.org/spreadsheetml/2006/main" count="653" uniqueCount="251">
  <si>
    <t>Cover Page</t>
  </si>
  <si>
    <t>By: Arshad Amin Ajani</t>
  </si>
  <si>
    <t>NASDAQ: COST</t>
  </si>
  <si>
    <t>Costco Wholesale Corporation</t>
  </si>
  <si>
    <t>Balance Sheet</t>
  </si>
  <si>
    <t>Period Ending</t>
  </si>
  <si>
    <t>Assets</t>
  </si>
  <si>
    <t>Cash and cash equivalents</t>
  </si>
  <si>
    <t>CURRENT ASSETS</t>
  </si>
  <si>
    <t>Short-term investments</t>
  </si>
  <si>
    <t>Receivables, net</t>
  </si>
  <si>
    <t>Merchandise inventories</t>
  </si>
  <si>
    <t>Other current assets</t>
  </si>
  <si>
    <t>Total current assets</t>
  </si>
  <si>
    <t>PROPERTY AND EQUIPMENT</t>
  </si>
  <si>
    <t>Land</t>
  </si>
  <si>
    <t>Buildings and improvements</t>
  </si>
  <si>
    <t>Equipment and fixtures</t>
  </si>
  <si>
    <t>Construction in progress</t>
  </si>
  <si>
    <t>Gross property and equipment</t>
  </si>
  <si>
    <t>Less accumulated depreciation and amortization</t>
  </si>
  <si>
    <t>Net property and equipment</t>
  </si>
  <si>
    <t>OTHER ASSETS</t>
  </si>
  <si>
    <t>TOTAL ASSETS</t>
  </si>
  <si>
    <t>CURRENT LIABILITIES</t>
  </si>
  <si>
    <t>Accounts payable</t>
  </si>
  <si>
    <t>Current portion long-term debt</t>
  </si>
  <si>
    <t>Accrued salaries and benefits</t>
  </si>
  <si>
    <t>Accrued member rewards</t>
  </si>
  <si>
    <t>Deferred membership fees</t>
  </si>
  <si>
    <t>Other current liabilities</t>
  </si>
  <si>
    <t>Total current liabilities</t>
  </si>
  <si>
    <t>LONG-TERM DEBT, excluding current portion</t>
  </si>
  <si>
    <t>OTHER LIABILITIES</t>
  </si>
  <si>
    <t>Total liabilities</t>
  </si>
  <si>
    <t>EQUITY</t>
  </si>
  <si>
    <t>Preferred stock $.005 par value; 100,000,000 shares authorized; no shares issued and outstanding</t>
  </si>
  <si>
    <t>Common stock $.005 par value; 900,000,000 shares authorized; 437,524,000 and 437,952,000 shares issued and outstanding</t>
  </si>
  <si>
    <t>Additional paid-in capital</t>
  </si>
  <si>
    <t>Accumulated other comprehensive loss</t>
  </si>
  <si>
    <t>Retained earnings</t>
  </si>
  <si>
    <t>Total Costco stockholders' equity</t>
  </si>
  <si>
    <t>Noncontrolling interests</t>
  </si>
  <si>
    <t>Total equity</t>
  </si>
  <si>
    <t>TOTAL LIABILITIES AND EQUITY</t>
  </si>
  <si>
    <t>Income Statement</t>
  </si>
  <si>
    <t>Years Ended</t>
  </si>
  <si>
    <t>REVENUE</t>
  </si>
  <si>
    <t>Net sales</t>
  </si>
  <si>
    <t>Membership fees</t>
  </si>
  <si>
    <t>Total revenue</t>
  </si>
  <si>
    <t>OPERATING EXPENSES</t>
  </si>
  <si>
    <t>Merchandise costs</t>
  </si>
  <si>
    <t>Selling, general and administrative</t>
  </si>
  <si>
    <t>Preopening expenses</t>
  </si>
  <si>
    <t>Operating income</t>
  </si>
  <si>
    <t>OTHER INCOME (EXPENSE)</t>
  </si>
  <si>
    <t>Interest expense</t>
  </si>
  <si>
    <t>Interest income and other, net</t>
  </si>
  <si>
    <t>INCOME BEFORE INCOME TAXES</t>
  </si>
  <si>
    <t>Provision for income taxes</t>
  </si>
  <si>
    <t>Net income including noncontrolling interests</t>
  </si>
  <si>
    <t>Net income attributable to noncontrolling interests</t>
  </si>
  <si>
    <t>NET INCOME ATTRIBUTABLE TO COSTCO</t>
  </si>
  <si>
    <t>NET INCOME PER COMMON SHARE ATTRIBUTABLE TO COSTCO:</t>
  </si>
  <si>
    <t>Basic (in dollars per share)</t>
  </si>
  <si>
    <t>Diluted (in dollars per share)</t>
  </si>
  <si>
    <t>Shares used in calculation (000's)</t>
  </si>
  <si>
    <t>Basic (shares)</t>
  </si>
  <si>
    <t>Diluted (shares)</t>
  </si>
  <si>
    <t>CASH DIVIDENDS DECLARED PER COMMON SHARE</t>
  </si>
  <si>
    <t>Accrued sales and other taxes</t>
  </si>
  <si>
    <t>**Only appeared in 2013</t>
  </si>
  <si>
    <t>Notes</t>
  </si>
  <si>
    <t>Revenue Growth</t>
  </si>
  <si>
    <t>Historical Data</t>
  </si>
  <si>
    <t>Fiscal Year</t>
  </si>
  <si>
    <t>Net Sales by Geographic Region</t>
  </si>
  <si>
    <t>United States Operations</t>
  </si>
  <si>
    <t>Revenue growth rate</t>
  </si>
  <si>
    <t>Margin on total net sales</t>
  </si>
  <si>
    <t>Canadian Operations</t>
  </si>
  <si>
    <t>Other International Operations</t>
  </si>
  <si>
    <t>Total net sales</t>
  </si>
  <si>
    <t>Average</t>
  </si>
  <si>
    <t>Std. Dev.</t>
  </si>
  <si>
    <t>CAGR</t>
  </si>
  <si>
    <t>Assumed</t>
  </si>
  <si>
    <t>Initial Historical Data</t>
  </si>
  <si>
    <t>Year</t>
  </si>
  <si>
    <t>Net sales by Geographic Region</t>
  </si>
  <si>
    <t>2018E</t>
  </si>
  <si>
    <t>2019E</t>
  </si>
  <si>
    <t>2020E</t>
  </si>
  <si>
    <t>2021E</t>
  </si>
  <si>
    <t>2022E</t>
  </si>
  <si>
    <t>2023E</t>
  </si>
  <si>
    <t>2024E</t>
  </si>
  <si>
    <t>2025E</t>
  </si>
  <si>
    <t>2026E</t>
  </si>
  <si>
    <t>2027E</t>
  </si>
  <si>
    <t>Forecasted Data</t>
  </si>
  <si>
    <t>Model Input Parameters</t>
  </si>
  <si>
    <t>% growth yoy</t>
  </si>
  <si>
    <t>Total current assets (calculated by AAA)</t>
  </si>
  <si>
    <t>Amounts are equal?</t>
  </si>
  <si>
    <t>TOTAL ASSETS (calculated by AAA)</t>
  </si>
  <si>
    <t>Total liabilities (calculated by AAA)</t>
  </si>
  <si>
    <t>Total equity (calculated by AAA)</t>
  </si>
  <si>
    <t>TOTAL LIABILITIES AND EQUITY (calculated by AAA)</t>
  </si>
  <si>
    <t>Total revenue (calculated by AAA)</t>
  </si>
  <si>
    <t>Amounts Equal?</t>
  </si>
  <si>
    <t>Operating income (calculated by AAA)</t>
  </si>
  <si>
    <t>NET INCOME ATTRIBUTABLE TO COSTCO (calculated by AAA)</t>
  </si>
  <si>
    <t>Depreciation &amp; Amortization</t>
  </si>
  <si>
    <t>CAGR-E</t>
  </si>
  <si>
    <t>Shares in Thousands, $ in Millions</t>
  </si>
  <si>
    <t>$ in Millions</t>
  </si>
  <si>
    <t>Revenue</t>
  </si>
  <si>
    <t>Operating Costs (as % of Revenue)</t>
  </si>
  <si>
    <t>Non-Operating Costs</t>
  </si>
  <si>
    <t>EBITDA (as % of revenue)</t>
  </si>
  <si>
    <t>EBT Margin (AAA calculated)</t>
  </si>
  <si>
    <t>EBT Margin (as reported)</t>
  </si>
  <si>
    <t>Cash Flow Drivers</t>
  </si>
  <si>
    <t>Change in Working Capital</t>
  </si>
  <si>
    <t>Capital Expenditures (CAPEX)</t>
  </si>
  <si>
    <t>Model Tuning Parameters</t>
  </si>
  <si>
    <t>FCF Return on Invested Capital (FROIC)</t>
  </si>
  <si>
    <t>Potential Free Cash Flow Yield (PFCFY)</t>
  </si>
  <si>
    <t>Long-Term Asset Turnover (LTAT)</t>
  </si>
  <si>
    <t>Percent of Invested Capital in Long-Term Assets (LTA/IC)</t>
  </si>
  <si>
    <t>Degree of Operating Leverage Calculation</t>
  </si>
  <si>
    <t>Operational EBITDA (AKA "adjusted-EBITDA")</t>
  </si>
  <si>
    <t>EBITDA Growth</t>
  </si>
  <si>
    <t>Degree of Operating Leverage</t>
  </si>
  <si>
    <t>Additional Calculations Required</t>
  </si>
  <si>
    <t>Working Capital Calculation</t>
  </si>
  <si>
    <t>Current Assets</t>
  </si>
  <si>
    <t>Current Liabilities</t>
  </si>
  <si>
    <t>Cash and Cash Equivalents</t>
  </si>
  <si>
    <t>Working Capital</t>
  </si>
  <si>
    <t>Capital Expenditures (CAPEX) Calculation</t>
  </si>
  <si>
    <t>Long-Term Assets</t>
  </si>
  <si>
    <t>Depreciation and Amortization</t>
  </si>
  <si>
    <t>CAPEX</t>
  </si>
  <si>
    <t>Invested Capital (IC) Calculation</t>
  </si>
  <si>
    <t>Invested Capital</t>
  </si>
  <si>
    <t>Std. Dev</t>
  </si>
  <si>
    <t>Trend</t>
  </si>
  <si>
    <t>**Over 100% because Cash makes Working capital negative</t>
  </si>
  <si>
    <t>Min</t>
  </si>
  <si>
    <t>Avg</t>
  </si>
  <si>
    <t>Max</t>
  </si>
  <si>
    <t>Assumption Name</t>
  </si>
  <si>
    <t>Operating Costs</t>
  </si>
  <si>
    <t>Degree of Operating Leverage (DOL)</t>
  </si>
  <si>
    <t>DOL</t>
  </si>
  <si>
    <t>Period</t>
  </si>
  <si>
    <t>Total Revenue</t>
  </si>
  <si>
    <t>% growth (yoy)</t>
  </si>
  <si>
    <t>Revenue Segments</t>
  </si>
  <si>
    <t>% margin on total revenue</t>
  </si>
  <si>
    <t>Operating Leverage Growth</t>
  </si>
  <si>
    <t>EBITDA</t>
  </si>
  <si>
    <t>% margin on Total Debt</t>
  </si>
  <si>
    <t>Total Debt</t>
  </si>
  <si>
    <t>Earnings Before Taxes (EBT)</t>
  </si>
  <si>
    <t>% margin on Total Revenue</t>
  </si>
  <si>
    <t>NOPAIT</t>
  </si>
  <si>
    <t>Free Cash Flow</t>
  </si>
  <si>
    <t>Discounted Cash Flow</t>
  </si>
  <si>
    <t>% margin on EBT</t>
  </si>
  <si>
    <t>Model Discounting Parameters</t>
  </si>
  <si>
    <t>Discount Rate</t>
  </si>
  <si>
    <t>WACC (Bloomberg)</t>
  </si>
  <si>
    <t>Long-Term Growth</t>
  </si>
  <si>
    <t>Model Valuation Output</t>
  </si>
  <si>
    <t>Estimated FCF/Share</t>
  </si>
  <si>
    <t>Current Price</t>
  </si>
  <si>
    <t>% Gain/Loss</t>
  </si>
  <si>
    <t>Model</t>
  </si>
  <si>
    <t>Historical</t>
  </si>
  <si>
    <t>FROIC</t>
  </si>
  <si>
    <t>PFCFY</t>
  </si>
  <si>
    <t>LTAT</t>
  </si>
  <si>
    <t>LTA/IC</t>
  </si>
  <si>
    <t>% DCF in TV</t>
  </si>
  <si>
    <t>Model Valuation of Company</t>
  </si>
  <si>
    <t>Sum of DCF</t>
  </si>
  <si>
    <t>+ Cash and Cash Equivalents</t>
  </si>
  <si>
    <t>= Equity Value</t>
  </si>
  <si>
    <t>/ Diluted Shares Outstanding (DSO)</t>
  </si>
  <si>
    <t>Estimated FCF/share</t>
  </si>
  <si>
    <t>Model Tuning Parameter Output</t>
  </si>
  <si>
    <t>Probabilistitc Discounted Cash Flow Model</t>
  </si>
  <si>
    <t>P-DCF</t>
  </si>
  <si>
    <t>Historical Trailing Total Return</t>
  </si>
  <si>
    <t>Security</t>
  </si>
  <si>
    <t>1 Year</t>
  </si>
  <si>
    <t>3 Years</t>
  </si>
  <si>
    <t>5 Years</t>
  </si>
  <si>
    <t>COST US Equity</t>
  </si>
  <si>
    <t>S&amp;P 500</t>
  </si>
  <si>
    <t>S&amp;P 500 Consumer Staples Sector</t>
  </si>
  <si>
    <t>Company Name</t>
  </si>
  <si>
    <t>Date</t>
  </si>
  <si>
    <t>Fiscal year ends (current period)</t>
  </si>
  <si>
    <t>08/2017 (08/2017 Q4)</t>
  </si>
  <si>
    <t>52 week high (date)</t>
  </si>
  <si>
    <t>$182.72 (06/06/17)</t>
  </si>
  <si>
    <t>52 week low (date)</t>
  </si>
  <si>
    <t>$136.59 (11/04/16)</t>
  </si>
  <si>
    <t>Market Cap</t>
  </si>
  <si>
    <t>$69,432.4M</t>
  </si>
  <si>
    <t>Enterprise Value</t>
  </si>
  <si>
    <t>$70,613.4M</t>
  </si>
  <si>
    <t>$6,659.0M</t>
  </si>
  <si>
    <t>Cash</t>
  </si>
  <si>
    <t>$5,779.0M</t>
  </si>
  <si>
    <t>Net Debt/Enterprise Value</t>
  </si>
  <si>
    <t>Dividend</t>
  </si>
  <si>
    <t>Shares Outstanding/Float</t>
  </si>
  <si>
    <t>437.2M/429.7M</t>
  </si>
  <si>
    <t>Current P/E</t>
  </si>
  <si>
    <t>2019 P/E (EPS)</t>
  </si>
  <si>
    <t>22.66x ($7.01)*</t>
  </si>
  <si>
    <t>2018 P/E (EPS)</t>
  </si>
  <si>
    <t>24.68x ($6.44)*</t>
  </si>
  <si>
    <t>2017 P/E (EPS)</t>
  </si>
  <si>
    <t>27.28x ($5.82)*</t>
  </si>
  <si>
    <t>2016 EPS</t>
  </si>
  <si>
    <t>$5.33**</t>
  </si>
  <si>
    <t>2015 EPS</t>
  </si>
  <si>
    <t>$5.24**</t>
  </si>
  <si>
    <t>2014 EPS</t>
  </si>
  <si>
    <t>$4.65**</t>
  </si>
  <si>
    <t>**Comparable Actual from Bloomberg</t>
  </si>
  <si>
    <t>* Breakdown provided in 10-K</t>
  </si>
  <si>
    <t>* Q4 2017 SGA increased due to detriments of Hurricane Harvey</t>
  </si>
  <si>
    <t>* Increasing due to increase in debt offerings and dividends</t>
  </si>
  <si>
    <t>* FX changes took a toll on this $12 million decrease due to FX</t>
  </si>
  <si>
    <t>Gross Margin</t>
  </si>
  <si>
    <t>Merchandise Costs</t>
  </si>
  <si>
    <t>Selling, General, Administrative</t>
  </si>
  <si>
    <t>Dividends per quarter</t>
  </si>
  <si>
    <t>Share repurchases</t>
  </si>
  <si>
    <t>*Consensus Estimates as of 10/16/2016</t>
  </si>
  <si>
    <t>Tuned P-DCF</t>
  </si>
  <si>
    <t>Value Drivers</t>
  </si>
  <si>
    <t>Monte-Carlo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</si>
</sst>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 &quot;#,##0_);_(&quot;$ &quot;\(#,##0\)"/>
    <numFmt numFmtId="165" formatCode="_(&quot;$ &quot;#,##0.00_);_(&quot;$ &quot;\(#,##0.00\)"/>
    <numFmt numFmtId="166" formatCode="_(* #,##0_);_(* \(#,##0\);_(* &quot;-&quot;??_);_(@_)"/>
    <numFmt numFmtId="167" formatCode="0.000"/>
    <numFmt numFmtId="168" formatCode="0.00000000000000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3">
    <xf numFmtId="0" fontId="0" fillId="0" borderId="0" xfId="0"/>
    <xf numFmtId="0" fontId="0" fillId="2" borderId="0" xfId="0" applyFill="1"/>
    <xf numFmtId="15" fontId="0" fillId="0" borderId="0" xfId="0" applyNumberForma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5" borderId="0" xfId="0" applyFill="1" applyAlignment="1">
      <alignment vertical="top" wrapText="1"/>
    </xf>
    <xf numFmtId="3" fontId="0" fillId="5" borderId="0" xfId="0" applyNumberFormat="1" applyFill="1" applyAlignment="1">
      <alignment wrapText="1"/>
    </xf>
    <xf numFmtId="3" fontId="0" fillId="0" borderId="0" xfId="0" quotePrefix="1" applyNumberFormat="1" applyAlignment="1">
      <alignment wrapText="1"/>
    </xf>
    <xf numFmtId="3" fontId="0" fillId="0" borderId="0" xfId="0" applyNumberFormat="1"/>
    <xf numFmtId="37" fontId="0" fillId="5" borderId="0" xfId="0" applyNumberFormat="1" applyFill="1" applyAlignment="1">
      <alignment horizontal="right" vertical="top"/>
    </xf>
    <xf numFmtId="0" fontId="0" fillId="6" borderId="0" xfId="0" applyFill="1" applyAlignment="1">
      <alignment vertical="top" wrapText="1"/>
    </xf>
    <xf numFmtId="0" fontId="0" fillId="6" borderId="0" xfId="0" applyFill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9" xfId="0" applyFont="1" applyBorder="1"/>
    <xf numFmtId="0" fontId="0" fillId="0" borderId="10" xfId="0" applyBorder="1"/>
    <xf numFmtId="0" fontId="3" fillId="0" borderId="6" xfId="0" applyFont="1" applyBorder="1"/>
    <xf numFmtId="0" fontId="6" fillId="0" borderId="9" xfId="0" applyFont="1" applyBorder="1"/>
    <xf numFmtId="0" fontId="0" fillId="3" borderId="11" xfId="0" applyFill="1" applyBorder="1"/>
    <xf numFmtId="0" fontId="0" fillId="3" borderId="9" xfId="0" applyFont="1" applyFill="1" applyBorder="1"/>
    <xf numFmtId="0" fontId="0" fillId="3" borderId="0" xfId="0" applyFill="1" applyBorder="1"/>
    <xf numFmtId="0" fontId="0" fillId="3" borderId="9" xfId="0" applyFill="1" applyBorder="1"/>
    <xf numFmtId="10" fontId="0" fillId="3" borderId="2" xfId="0" applyNumberFormat="1" applyFill="1" applyBorder="1"/>
    <xf numFmtId="10" fontId="0" fillId="3" borderId="0" xfId="0" applyNumberFormat="1" applyFill="1" applyBorder="1"/>
    <xf numFmtId="10" fontId="0" fillId="3" borderId="10" xfId="0" applyNumberFormat="1" applyFill="1" applyBorder="1"/>
    <xf numFmtId="10" fontId="0" fillId="3" borderId="13" xfId="0" applyNumberFormat="1" applyFill="1" applyBorder="1"/>
    <xf numFmtId="0" fontId="3" fillId="5" borderId="9" xfId="0" applyFont="1" applyFill="1" applyBorder="1"/>
    <xf numFmtId="0" fontId="0" fillId="5" borderId="0" xfId="0" applyFill="1" applyBorder="1"/>
    <xf numFmtId="0" fontId="3" fillId="7" borderId="9" xfId="0" applyFont="1" applyFill="1" applyBorder="1"/>
    <xf numFmtId="166" fontId="0" fillId="7" borderId="0" xfId="1" applyNumberFormat="1" applyFont="1" applyFill="1" applyBorder="1"/>
    <xf numFmtId="166" fontId="0" fillId="7" borderId="10" xfId="1" applyNumberFormat="1" applyFont="1" applyFill="1" applyBorder="1"/>
    <xf numFmtId="10" fontId="0" fillId="3" borderId="12" xfId="0" applyNumberFormat="1" applyFill="1" applyBorder="1"/>
    <xf numFmtId="10" fontId="0" fillId="3" borderId="14" xfId="0" applyNumberFormat="1" applyFill="1" applyBorder="1"/>
    <xf numFmtId="0" fontId="0" fillId="8" borderId="0" xfId="0" applyFill="1" applyBorder="1"/>
    <xf numFmtId="166" fontId="0" fillId="7" borderId="2" xfId="1" applyNumberFormat="1" applyFont="1" applyFill="1" applyBorder="1"/>
    <xf numFmtId="0" fontId="0" fillId="7" borderId="4" xfId="0" applyFill="1" applyBorder="1"/>
    <xf numFmtId="10" fontId="0" fillId="7" borderId="4" xfId="0" applyNumberFormat="1" applyFill="1" applyBorder="1"/>
    <xf numFmtId="10" fontId="0" fillId="7" borderId="5" xfId="0" applyNumberFormat="1" applyFill="1" applyBorder="1"/>
    <xf numFmtId="0" fontId="0" fillId="5" borderId="4" xfId="0" applyFill="1" applyBorder="1"/>
    <xf numFmtId="10" fontId="0" fillId="5" borderId="4" xfId="0" applyNumberFormat="1" applyFill="1" applyBorder="1"/>
    <xf numFmtId="10" fontId="0" fillId="5" borderId="5" xfId="0" applyNumberFormat="1" applyFill="1" applyBorder="1"/>
    <xf numFmtId="0" fontId="0" fillId="9" borderId="4" xfId="0" applyFill="1" applyBorder="1"/>
    <xf numFmtId="10" fontId="0" fillId="9" borderId="4" xfId="0" applyNumberFormat="1" applyFill="1" applyBorder="1"/>
    <xf numFmtId="10" fontId="0" fillId="9" borderId="5" xfId="0" applyNumberFormat="1" applyFill="1" applyBorder="1"/>
    <xf numFmtId="0" fontId="0" fillId="10" borderId="4" xfId="0" applyFill="1" applyBorder="1"/>
    <xf numFmtId="10" fontId="0" fillId="10" borderId="4" xfId="0" applyNumberFormat="1" applyFill="1" applyBorder="1"/>
    <xf numFmtId="10" fontId="0" fillId="10" borderId="5" xfId="0" applyNumberFormat="1" applyFill="1" applyBorder="1"/>
    <xf numFmtId="0" fontId="3" fillId="7" borderId="3" xfId="0" applyFont="1" applyFill="1" applyBorder="1"/>
    <xf numFmtId="0" fontId="3" fillId="10" borderId="3" xfId="0" applyFont="1" applyFill="1" applyBorder="1"/>
    <xf numFmtId="0" fontId="3" fillId="9" borderId="3" xfId="0" applyFont="1" applyFill="1" applyBorder="1"/>
    <xf numFmtId="0" fontId="3" fillId="5" borderId="3" xfId="0" applyFont="1" applyFill="1" applyBorder="1"/>
    <xf numFmtId="0" fontId="3" fillId="7" borderId="19" xfId="0" applyFont="1" applyFill="1" applyBorder="1"/>
    <xf numFmtId="166" fontId="0" fillId="7" borderId="20" xfId="1" applyNumberFormat="1" applyFont="1" applyFill="1" applyBorder="1"/>
    <xf numFmtId="166" fontId="0" fillId="7" borderId="1" xfId="1" applyNumberFormat="1" applyFont="1" applyFill="1" applyBorder="1"/>
    <xf numFmtId="10" fontId="0" fillId="5" borderId="18" xfId="0" applyNumberFormat="1" applyFill="1" applyBorder="1"/>
    <xf numFmtId="10" fontId="0" fillId="9" borderId="18" xfId="0" applyNumberFormat="1" applyFill="1" applyBorder="1"/>
    <xf numFmtId="10" fontId="0" fillId="10" borderId="18" xfId="0" applyNumberFormat="1" applyFill="1" applyBorder="1"/>
    <xf numFmtId="10" fontId="0" fillId="7" borderId="18" xfId="0" applyNumberFormat="1" applyFill="1" applyBorder="1"/>
    <xf numFmtId="10" fontId="0" fillId="7" borderId="21" xfId="0" applyNumberFormat="1" applyFill="1" applyBorder="1"/>
    <xf numFmtId="166" fontId="0" fillId="7" borderId="25" xfId="1" applyNumberFormat="1" applyFont="1" applyFill="1" applyBorder="1"/>
    <xf numFmtId="37" fontId="0" fillId="0" borderId="0" xfId="0" applyNumberFormat="1"/>
    <xf numFmtId="0" fontId="0" fillId="3" borderId="26" xfId="0" applyFill="1" applyBorder="1"/>
    <xf numFmtId="10" fontId="0" fillId="3" borderId="26" xfId="0" applyNumberFormat="1" applyFill="1" applyBorder="1"/>
    <xf numFmtId="0" fontId="0" fillId="8" borderId="0" xfId="0" applyFill="1"/>
    <xf numFmtId="0" fontId="3" fillId="8" borderId="0" xfId="0" applyFont="1" applyFill="1"/>
    <xf numFmtId="0" fontId="3" fillId="10" borderId="15" xfId="0" applyFont="1" applyFill="1" applyBorder="1"/>
    <xf numFmtId="0" fontId="0" fillId="10" borderId="16" xfId="0" applyFill="1" applyBorder="1"/>
    <xf numFmtId="0" fontId="0" fillId="4" borderId="9" xfId="0" applyFill="1" applyBorder="1"/>
    <xf numFmtId="3" fontId="0" fillId="4" borderId="0" xfId="0" applyNumberFormat="1" applyFill="1" applyBorder="1"/>
    <xf numFmtId="0" fontId="0" fillId="4" borderId="22" xfId="0" applyFill="1" applyBorder="1"/>
    <xf numFmtId="6" fontId="0" fillId="4" borderId="23" xfId="0" applyNumberFormat="1" applyFill="1" applyBorder="1"/>
    <xf numFmtId="6" fontId="0" fillId="4" borderId="0" xfId="0" applyNumberFormat="1" applyFill="1" applyBorder="1"/>
    <xf numFmtId="0" fontId="3" fillId="4" borderId="9" xfId="0" applyFont="1" applyFill="1" applyBorder="1"/>
    <xf numFmtId="0" fontId="0" fillId="4" borderId="0" xfId="0" applyFill="1" applyBorder="1"/>
    <xf numFmtId="0" fontId="3" fillId="4" borderId="27" xfId="0" applyFont="1" applyFill="1" applyBorder="1"/>
    <xf numFmtId="0" fontId="0" fillId="4" borderId="26" xfId="0" applyFill="1" applyBorder="1"/>
    <xf numFmtId="0" fontId="0" fillId="4" borderId="11" xfId="0" applyFill="1" applyBorder="1"/>
    <xf numFmtId="166" fontId="0" fillId="4" borderId="12" xfId="1" applyNumberFormat="1" applyFont="1" applyFill="1" applyBorder="1"/>
    <xf numFmtId="0" fontId="3" fillId="10" borderId="27" xfId="0" applyFont="1" applyFill="1" applyBorder="1"/>
    <xf numFmtId="0" fontId="0" fillId="10" borderId="26" xfId="0" applyFill="1" applyBorder="1"/>
    <xf numFmtId="0" fontId="0" fillId="5" borderId="15" xfId="0" applyFill="1" applyBorder="1"/>
    <xf numFmtId="10" fontId="0" fillId="5" borderId="16" xfId="0" applyNumberFormat="1" applyFill="1" applyBorder="1"/>
    <xf numFmtId="0" fontId="0" fillId="5" borderId="9" xfId="0" applyFill="1" applyBorder="1"/>
    <xf numFmtId="10" fontId="0" fillId="5" borderId="0" xfId="0" applyNumberFormat="1" applyFill="1" applyBorder="1"/>
    <xf numFmtId="0" fontId="0" fillId="8" borderId="9" xfId="0" applyFill="1" applyBorder="1"/>
    <xf numFmtId="166" fontId="0" fillId="5" borderId="0" xfId="1" applyNumberFormat="1" applyFont="1" applyFill="1" applyBorder="1"/>
    <xf numFmtId="0" fontId="0" fillId="3" borderId="23" xfId="0" applyFill="1" applyBorder="1"/>
    <xf numFmtId="10" fontId="0" fillId="3" borderId="23" xfId="0" applyNumberFormat="1" applyFill="1" applyBorder="1"/>
    <xf numFmtId="0" fontId="0" fillId="3" borderId="20" xfId="0" applyFill="1" applyBorder="1"/>
    <xf numFmtId="10" fontId="0" fillId="3" borderId="20" xfId="0" applyNumberFormat="1" applyFill="1" applyBorder="1"/>
    <xf numFmtId="0" fontId="3" fillId="10" borderId="0" xfId="0" applyFont="1" applyFill="1"/>
    <xf numFmtId="15" fontId="3" fillId="10" borderId="0" xfId="0" applyNumberFormat="1" applyFont="1" applyFill="1"/>
    <xf numFmtId="0" fontId="0" fillId="10" borderId="21" xfId="0" applyFill="1" applyBorder="1"/>
    <xf numFmtId="10" fontId="0" fillId="7" borderId="29" xfId="0" applyNumberFormat="1" applyFill="1" applyBorder="1"/>
    <xf numFmtId="0" fontId="0" fillId="10" borderId="29" xfId="0" applyFill="1" applyBorder="1"/>
    <xf numFmtId="0" fontId="0" fillId="10" borderId="18" xfId="0" applyFill="1" applyBorder="1"/>
    <xf numFmtId="0" fontId="0" fillId="3" borderId="15" xfId="0" applyFill="1" applyBorder="1"/>
    <xf numFmtId="10" fontId="0" fillId="3" borderId="16" xfId="0" applyNumberFormat="1" applyFill="1" applyBorder="1"/>
    <xf numFmtId="0" fontId="4" fillId="3" borderId="11" xfId="0" applyFont="1" applyFill="1" applyBorder="1"/>
    <xf numFmtId="0" fontId="0" fillId="3" borderId="27" xfId="0" applyFill="1" applyBorder="1"/>
    <xf numFmtId="0" fontId="0" fillId="5" borderId="6" xfId="0" applyFill="1" applyBorder="1"/>
    <xf numFmtId="0" fontId="0" fillId="5" borderId="7" xfId="0" applyFill="1" applyBorder="1"/>
    <xf numFmtId="10" fontId="0" fillId="5" borderId="7" xfId="0" applyNumberFormat="1" applyFill="1" applyBorder="1"/>
    <xf numFmtId="10" fontId="3" fillId="5" borderId="6" xfId="0" applyNumberFormat="1" applyFont="1" applyFill="1" applyBorder="1"/>
    <xf numFmtId="10" fontId="3" fillId="5" borderId="7" xfId="0" applyNumberFormat="1" applyFont="1" applyFill="1" applyBorder="1"/>
    <xf numFmtId="0" fontId="3" fillId="5" borderId="8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10" fontId="3" fillId="5" borderId="9" xfId="0" applyNumberFormat="1" applyFont="1" applyFill="1" applyBorder="1"/>
    <xf numFmtId="10" fontId="3" fillId="5" borderId="0" xfId="0" applyNumberFormat="1" applyFont="1" applyFill="1" applyBorder="1"/>
    <xf numFmtId="0" fontId="3" fillId="5" borderId="10" xfId="0" applyFont="1" applyFill="1" applyBorder="1"/>
    <xf numFmtId="0" fontId="3" fillId="5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2" fontId="0" fillId="0" borderId="0" xfId="0" applyNumberFormat="1"/>
    <xf numFmtId="2" fontId="0" fillId="0" borderId="2" xfId="0" applyNumberFormat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20" xfId="0" applyBorder="1"/>
    <xf numFmtId="0" fontId="0" fillId="0" borderId="23" xfId="0" applyBorder="1"/>
    <xf numFmtId="0" fontId="3" fillId="0" borderId="20" xfId="0" applyFont="1" applyBorder="1"/>
    <xf numFmtId="0" fontId="0" fillId="3" borderId="0" xfId="0" applyFill="1"/>
    <xf numFmtId="0" fontId="0" fillId="3" borderId="2" xfId="0" applyFill="1" applyBorder="1"/>
    <xf numFmtId="10" fontId="0" fillId="3" borderId="31" xfId="0" applyNumberFormat="1" applyFill="1" applyBorder="1"/>
    <xf numFmtId="10" fontId="0" fillId="3" borderId="0" xfId="0" applyNumberFormat="1" applyFill="1"/>
    <xf numFmtId="0" fontId="0" fillId="3" borderId="12" xfId="0" applyFill="1" applyBorder="1"/>
    <xf numFmtId="0" fontId="0" fillId="0" borderId="32" xfId="0" applyBorder="1"/>
    <xf numFmtId="37" fontId="0" fillId="3" borderId="0" xfId="0" applyNumberFormat="1" applyFill="1"/>
    <xf numFmtId="9" fontId="0" fillId="3" borderId="31" xfId="3" applyFont="1" applyFill="1" applyBorder="1"/>
    <xf numFmtId="9" fontId="0" fillId="3" borderId="23" xfId="3" applyFont="1" applyFill="1" applyBorder="1"/>
    <xf numFmtId="2" fontId="0" fillId="0" borderId="25" xfId="0" applyNumberFormat="1" applyBorder="1"/>
    <xf numFmtId="2" fontId="0" fillId="0" borderId="20" xfId="0" applyNumberFormat="1" applyBorder="1"/>
    <xf numFmtId="2" fontId="0" fillId="0" borderId="33" xfId="0" applyNumberFormat="1" applyBorder="1"/>
    <xf numFmtId="2" fontId="0" fillId="0" borderId="31" xfId="0" applyNumberFormat="1" applyBorder="1"/>
    <xf numFmtId="2" fontId="0" fillId="0" borderId="23" xfId="0" applyNumberFormat="1" applyBorder="1"/>
    <xf numFmtId="2" fontId="0" fillId="0" borderId="34" xfId="0" applyNumberFormat="1" applyBorder="1"/>
    <xf numFmtId="2" fontId="0" fillId="0" borderId="0" xfId="0" applyNumberFormat="1" applyBorder="1"/>
    <xf numFmtId="2" fontId="0" fillId="0" borderId="30" xfId="0" applyNumberFormat="1" applyBorder="1"/>
    <xf numFmtId="2" fontId="0" fillId="0" borderId="16" xfId="0" applyNumberFormat="1" applyBorder="1"/>
    <xf numFmtId="2" fontId="0" fillId="5" borderId="0" xfId="0" applyNumberFormat="1" applyFill="1" applyBorder="1"/>
    <xf numFmtId="2" fontId="3" fillId="5" borderId="9" xfId="0" applyNumberFormat="1" applyFont="1" applyFill="1" applyBorder="1"/>
    <xf numFmtId="2" fontId="3" fillId="5" borderId="0" xfId="0" applyNumberFormat="1" applyFont="1" applyFill="1" applyBorder="1"/>
    <xf numFmtId="0" fontId="0" fillId="0" borderId="13" xfId="0" applyBorder="1"/>
    <xf numFmtId="0" fontId="0" fillId="5" borderId="10" xfId="0" applyFill="1" applyBorder="1"/>
    <xf numFmtId="0" fontId="0" fillId="5" borderId="11" xfId="0" applyFill="1" applyBorder="1"/>
    <xf numFmtId="10" fontId="0" fillId="5" borderId="12" xfId="0" applyNumberFormat="1" applyFill="1" applyBorder="1"/>
    <xf numFmtId="0" fontId="0" fillId="5" borderId="14" xfId="0" applyFill="1" applyBorder="1"/>
    <xf numFmtId="0" fontId="0" fillId="5" borderId="16" xfId="0" applyFill="1" applyBorder="1"/>
    <xf numFmtId="0" fontId="0" fillId="5" borderId="17" xfId="0" applyFill="1" applyBorder="1"/>
    <xf numFmtId="0" fontId="0" fillId="7" borderId="11" xfId="0" applyFill="1" applyBorder="1"/>
    <xf numFmtId="10" fontId="0" fillId="7" borderId="12" xfId="0" applyNumberFormat="1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5" borderId="22" xfId="0" applyFill="1" applyBorder="1"/>
    <xf numFmtId="10" fontId="0" fillId="5" borderId="23" xfId="0" applyNumberFormat="1" applyFill="1" applyBorder="1"/>
    <xf numFmtId="0" fontId="0" fillId="5" borderId="24" xfId="0" applyFill="1" applyBorder="1"/>
    <xf numFmtId="2" fontId="0" fillId="7" borderId="12" xfId="0" applyNumberFormat="1" applyFill="1" applyBorder="1"/>
    <xf numFmtId="10" fontId="0" fillId="7" borderId="14" xfId="0" applyNumberFormat="1" applyFill="1" applyBorder="1"/>
    <xf numFmtId="0" fontId="0" fillId="5" borderId="12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30" xfId="0" applyFill="1" applyBorder="1"/>
    <xf numFmtId="0" fontId="0" fillId="9" borderId="17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2" fontId="0" fillId="0" borderId="17" xfId="0" applyNumberFormat="1" applyBorder="1"/>
    <xf numFmtId="0" fontId="0" fillId="5" borderId="27" xfId="0" applyFill="1" applyBorder="1"/>
    <xf numFmtId="0" fontId="0" fillId="5" borderId="26" xfId="0" applyFill="1" applyBorder="1"/>
    <xf numFmtId="0" fontId="0" fillId="5" borderId="28" xfId="0" applyFill="1" applyBorder="1"/>
    <xf numFmtId="37" fontId="0" fillId="5" borderId="28" xfId="0" applyNumberFormat="1" applyFill="1" applyBorder="1"/>
    <xf numFmtId="0" fontId="0" fillId="10" borderId="15" xfId="0" applyFill="1" applyBorder="1"/>
    <xf numFmtId="3" fontId="0" fillId="10" borderId="16" xfId="0" applyNumberFormat="1" applyFill="1" applyBorder="1"/>
    <xf numFmtId="1" fontId="0" fillId="10" borderId="16" xfId="0" applyNumberFormat="1" applyFill="1" applyBorder="1"/>
    <xf numFmtId="1" fontId="0" fillId="10" borderId="17" xfId="0" applyNumberFormat="1" applyFill="1" applyBorder="1"/>
    <xf numFmtId="0" fontId="0" fillId="10" borderId="9" xfId="0" applyFill="1" applyBorder="1"/>
    <xf numFmtId="6" fontId="0" fillId="10" borderId="0" xfId="0" applyNumberFormat="1" applyFill="1" applyBorder="1"/>
    <xf numFmtId="8" fontId="0" fillId="10" borderId="0" xfId="0" applyNumberFormat="1" applyFill="1" applyBorder="1"/>
    <xf numFmtId="8" fontId="0" fillId="10" borderId="10" xfId="0" applyNumberFormat="1" applyFill="1" applyBorder="1"/>
    <xf numFmtId="0" fontId="0" fillId="10" borderId="22" xfId="0" applyFill="1" applyBorder="1"/>
    <xf numFmtId="3" fontId="0" fillId="10" borderId="23" xfId="0" applyNumberFormat="1" applyFill="1" applyBorder="1"/>
    <xf numFmtId="3" fontId="0" fillId="10" borderId="24" xfId="0" applyNumberFormat="1" applyFill="1" applyBorder="1"/>
    <xf numFmtId="0" fontId="0" fillId="10" borderId="0" xfId="0" applyFill="1" applyBorder="1"/>
    <xf numFmtId="10" fontId="0" fillId="10" borderId="0" xfId="0" applyNumberFormat="1" applyFill="1" applyBorder="1"/>
    <xf numFmtId="10" fontId="0" fillId="10" borderId="10" xfId="0" applyNumberFormat="1" applyFill="1" applyBorder="1"/>
    <xf numFmtId="167" fontId="0" fillId="10" borderId="0" xfId="0" applyNumberFormat="1" applyFill="1" applyBorder="1"/>
    <xf numFmtId="167" fontId="0" fillId="10" borderId="10" xfId="0" applyNumberFormat="1" applyFill="1" applyBorder="1"/>
    <xf numFmtId="0" fontId="0" fillId="10" borderId="11" xfId="0" applyFill="1" applyBorder="1"/>
    <xf numFmtId="0" fontId="0" fillId="10" borderId="12" xfId="0" applyFill="1" applyBorder="1"/>
    <xf numFmtId="10" fontId="0" fillId="10" borderId="12" xfId="0" applyNumberFormat="1" applyFill="1" applyBorder="1"/>
    <xf numFmtId="10" fontId="0" fillId="10" borderId="14" xfId="0" applyNumberFormat="1" applyFill="1" applyBorder="1"/>
    <xf numFmtId="10" fontId="0" fillId="5" borderId="14" xfId="0" applyNumberFormat="1" applyFill="1" applyBorder="1"/>
    <xf numFmtId="0" fontId="0" fillId="5" borderId="36" xfId="0" applyFill="1" applyBorder="1"/>
    <xf numFmtId="0" fontId="0" fillId="5" borderId="37" xfId="0" applyFill="1" applyBorder="1"/>
    <xf numFmtId="10" fontId="0" fillId="5" borderId="17" xfId="0" applyNumberFormat="1" applyFill="1" applyBorder="1"/>
    <xf numFmtId="0" fontId="3" fillId="11" borderId="15" xfId="0" applyFont="1" applyFill="1" applyBorder="1" applyAlignment="1"/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0" fillId="11" borderId="15" xfId="0" applyFont="1" applyFill="1" applyBorder="1"/>
    <xf numFmtId="10" fontId="2" fillId="11" borderId="16" xfId="3" applyNumberFormat="1" applyFont="1" applyFill="1" applyBorder="1" applyAlignment="1">
      <alignment horizontal="center"/>
    </xf>
    <xf numFmtId="10" fontId="2" fillId="11" borderId="17" xfId="3" applyNumberFormat="1" applyFont="1" applyFill="1" applyBorder="1" applyAlignment="1">
      <alignment horizontal="center"/>
    </xf>
    <xf numFmtId="0" fontId="0" fillId="11" borderId="9" xfId="0" applyFont="1" applyFill="1" applyBorder="1"/>
    <xf numFmtId="10" fontId="2" fillId="11" borderId="0" xfId="3" applyNumberFormat="1" applyFont="1" applyFill="1" applyBorder="1" applyAlignment="1">
      <alignment horizontal="center"/>
    </xf>
    <xf numFmtId="10" fontId="0" fillId="11" borderId="0" xfId="3" applyNumberFormat="1" applyFont="1" applyFill="1" applyBorder="1" applyAlignment="1">
      <alignment horizontal="center"/>
    </xf>
    <xf numFmtId="10" fontId="2" fillId="11" borderId="10" xfId="3" applyNumberFormat="1" applyFont="1" applyFill="1" applyBorder="1" applyAlignment="1">
      <alignment horizontal="center"/>
    </xf>
    <xf numFmtId="0" fontId="0" fillId="11" borderId="11" xfId="0" applyFont="1" applyFill="1" applyBorder="1"/>
    <xf numFmtId="10" fontId="2" fillId="11" borderId="12" xfId="3" applyNumberFormat="1" applyFont="1" applyFill="1" applyBorder="1" applyAlignment="1">
      <alignment horizontal="center"/>
    </xf>
    <xf numFmtId="10" fontId="2" fillId="11" borderId="14" xfId="3" applyNumberFormat="1" applyFont="1" applyFill="1" applyBorder="1" applyAlignment="1">
      <alignment horizontal="center"/>
    </xf>
    <xf numFmtId="0" fontId="3" fillId="11" borderId="15" xfId="0" applyFont="1" applyFill="1" applyBorder="1" applyAlignment="1">
      <alignment horizontal="right"/>
    </xf>
    <xf numFmtId="0" fontId="3" fillId="11" borderId="9" xfId="0" applyFont="1" applyFill="1" applyBorder="1" applyAlignment="1">
      <alignment horizontal="right"/>
    </xf>
    <xf numFmtId="14" fontId="3" fillId="11" borderId="0" xfId="0" applyNumberFormat="1" applyFont="1" applyFill="1" applyBorder="1" applyAlignment="1">
      <alignment horizontal="center" vertical="center"/>
    </xf>
    <xf numFmtId="8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10" fontId="3" fillId="11" borderId="0" xfId="0" applyNumberFormat="1" applyFont="1" applyFill="1" applyBorder="1" applyAlignment="1">
      <alignment horizontal="center" vertical="center"/>
    </xf>
    <xf numFmtId="40" fontId="3" fillId="11" borderId="0" xfId="0" applyNumberFormat="1" applyFont="1" applyFill="1" applyBorder="1" applyAlignment="1">
      <alignment horizontal="center" vertical="center"/>
    </xf>
    <xf numFmtId="8" fontId="3" fillId="11" borderId="12" xfId="0" applyNumberFormat="1" applyFont="1" applyFill="1" applyBorder="1" applyAlignment="1">
      <alignment horizontal="center" vertical="center"/>
    </xf>
    <xf numFmtId="10" fontId="0" fillId="0" borderId="18" xfId="3" applyNumberFormat="1" applyFont="1" applyBorder="1"/>
    <xf numFmtId="10" fontId="0" fillId="0" borderId="4" xfId="3" applyNumberFormat="1" applyFont="1" applyBorder="1"/>
    <xf numFmtId="10" fontId="0" fillId="0" borderId="5" xfId="3" applyNumberFormat="1" applyFont="1" applyBorder="1"/>
    <xf numFmtId="0" fontId="0" fillId="0" borderId="0" xfId="0" applyAlignment="1">
      <alignment horizontal="center"/>
    </xf>
    <xf numFmtId="2" fontId="0" fillId="5" borderId="17" xfId="0" applyNumberFormat="1" applyFill="1" applyBorder="1"/>
    <xf numFmtId="37" fontId="0" fillId="2" borderId="0" xfId="0" applyNumberFormat="1" applyFill="1"/>
    <xf numFmtId="0" fontId="0" fillId="8" borderId="12" xfId="0" applyFill="1" applyBorder="1"/>
    <xf numFmtId="10" fontId="0" fillId="7" borderId="38" xfId="0" applyNumberFormat="1" applyFill="1" applyBorder="1"/>
    <xf numFmtId="10" fontId="0" fillId="7" borderId="39" xfId="0" applyNumberFormat="1" applyFill="1" applyBorder="1"/>
    <xf numFmtId="10" fontId="0" fillId="9" borderId="19" xfId="0" applyNumberFormat="1" applyFill="1" applyBorder="1"/>
    <xf numFmtId="10" fontId="0" fillId="9" borderId="9" xfId="0" applyNumberFormat="1" applyFill="1" applyBorder="1"/>
    <xf numFmtId="10" fontId="0" fillId="9" borderId="22" xfId="0" applyNumberFormat="1" applyFill="1" applyBorder="1"/>
    <xf numFmtId="0" fontId="0" fillId="10" borderId="39" xfId="0" applyFill="1" applyBorder="1"/>
    <xf numFmtId="0" fontId="3" fillId="9" borderId="15" xfId="0" applyFont="1" applyFill="1" applyBorder="1"/>
    <xf numFmtId="0" fontId="0" fillId="9" borderId="9" xfId="0" applyFill="1" applyBorder="1"/>
    <xf numFmtId="10" fontId="0" fillId="9" borderId="27" xfId="0" applyNumberFormat="1" applyFill="1" applyBorder="1"/>
    <xf numFmtId="10" fontId="0" fillId="9" borderId="15" xfId="0" applyNumberFormat="1" applyFill="1" applyBorder="1"/>
    <xf numFmtId="10" fontId="0" fillId="9" borderId="11" xfId="0" applyNumberFormat="1" applyFill="1" applyBorder="1"/>
    <xf numFmtId="10" fontId="0" fillId="3" borderId="15" xfId="0" applyNumberFormat="1" applyFill="1" applyBorder="1"/>
    <xf numFmtId="10" fontId="0" fillId="3" borderId="17" xfId="0" applyNumberFormat="1" applyFill="1" applyBorder="1"/>
    <xf numFmtId="10" fontId="0" fillId="3" borderId="11" xfId="0" applyNumberFormat="1" applyFill="1" applyBorder="1"/>
    <xf numFmtId="3" fontId="0" fillId="4" borderId="26" xfId="0" applyNumberFormat="1" applyFill="1" applyBorder="1"/>
    <xf numFmtId="10" fontId="0" fillId="0" borderId="0" xfId="0" applyNumberFormat="1"/>
    <xf numFmtId="9" fontId="0" fillId="0" borderId="0" xfId="3" applyFont="1"/>
    <xf numFmtId="10" fontId="0" fillId="0" borderId="0" xfId="3" applyNumberFormat="1" applyFont="1"/>
    <xf numFmtId="164" fontId="0" fillId="6" borderId="0" xfId="0" applyNumberFormat="1" applyFill="1" applyAlignment="1">
      <alignment horizontal="right" vertical="top"/>
    </xf>
    <xf numFmtId="37" fontId="0" fillId="6" borderId="0" xfId="0" applyNumberFormat="1" applyFill="1" applyAlignment="1">
      <alignment horizontal="right" vertical="top"/>
    </xf>
    <xf numFmtId="168" fontId="0" fillId="0" borderId="0" xfId="0" applyNumberFormat="1"/>
    <xf numFmtId="8" fontId="0" fillId="0" borderId="0" xfId="0" applyNumberFormat="1"/>
    <xf numFmtId="10" fontId="0" fillId="12" borderId="2" xfId="0" applyNumberFormat="1" applyFill="1" applyBorder="1"/>
    <xf numFmtId="10" fontId="0" fillId="12" borderId="0" xfId="0" applyNumberFormat="1" applyFill="1" applyBorder="1"/>
    <xf numFmtId="10" fontId="0" fillId="12" borderId="31" xfId="0" applyNumberFormat="1" applyFill="1" applyBorder="1"/>
    <xf numFmtId="10" fontId="0" fillId="12" borderId="23" xfId="0" applyNumberFormat="1" applyFill="1" applyBorder="1"/>
    <xf numFmtId="10" fontId="0" fillId="12" borderId="0" xfId="0" applyNumberFormat="1" applyFill="1"/>
    <xf numFmtId="10" fontId="0" fillId="0" borderId="0" xfId="0" applyNumberFormat="1" applyFill="1" applyBorder="1"/>
    <xf numFmtId="10" fontId="0" fillId="0" borderId="23" xfId="0" applyNumberFormat="1" applyFill="1" applyBorder="1"/>
    <xf numFmtId="0" fontId="0" fillId="13" borderId="14" xfId="0" applyFill="1" applyBorder="1"/>
    <xf numFmtId="10" fontId="9" fillId="5" borderId="10" xfId="0" applyNumberFormat="1" applyFont="1" applyFill="1" applyBorder="1"/>
    <xf numFmtId="0" fontId="3" fillId="11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2" xfId="0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</cellXfs>
  <cellStyles count="10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Business Segment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for Paper'!$A$4</c:f>
              <c:strCache>
                <c:ptCount val="1"/>
                <c:pt idx="0">
                  <c:v>United States Operations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'Graphs for Paper'!$B$3:$F$3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Paper'!$B$4:$F$4</c:f>
              <c:numCache>
                <c:formatCode>General</c:formatCode>
                <c:ptCount val="5"/>
                <c:pt idx="0">
                  <c:v>75493.0</c:v>
                </c:pt>
                <c:pt idx="1">
                  <c:v>80477.0</c:v>
                </c:pt>
                <c:pt idx="2">
                  <c:v>84351.0</c:v>
                </c:pt>
                <c:pt idx="3">
                  <c:v>86579.0</c:v>
                </c:pt>
                <c:pt idx="4">
                  <c:v>93889.0</c:v>
                </c:pt>
              </c:numCache>
            </c:numRef>
          </c:val>
        </c:ser>
        <c:ser>
          <c:idx val="1"/>
          <c:order val="1"/>
          <c:tx>
            <c:strRef>
              <c:f>'Graphs for Paper'!$A$5</c:f>
              <c:strCache>
                <c:ptCount val="1"/>
                <c:pt idx="0">
                  <c:v>Canadian Operations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'Graphs for Paper'!$B$3:$F$3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Paper'!$B$5:$F$5</c:f>
              <c:numCache>
                <c:formatCode>General</c:formatCode>
                <c:ptCount val="5"/>
                <c:pt idx="0">
                  <c:v>17179.0</c:v>
                </c:pt>
                <c:pt idx="1">
                  <c:v>17943.0</c:v>
                </c:pt>
                <c:pt idx="2">
                  <c:v>17341.0</c:v>
                </c:pt>
                <c:pt idx="3">
                  <c:v>17028.0</c:v>
                </c:pt>
                <c:pt idx="4">
                  <c:v>18775.0</c:v>
                </c:pt>
              </c:numCache>
            </c:numRef>
          </c:val>
        </c:ser>
        <c:ser>
          <c:idx val="2"/>
          <c:order val="2"/>
          <c:tx>
            <c:strRef>
              <c:f>'Graphs for Paper'!$A$6</c:f>
              <c:strCache>
                <c:ptCount val="1"/>
                <c:pt idx="0">
                  <c:v>Other International Operations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'Graphs for Paper'!$B$3:$F$3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Paper'!$B$6:$F$6</c:f>
              <c:numCache>
                <c:formatCode>General</c:formatCode>
                <c:ptCount val="5"/>
                <c:pt idx="0">
                  <c:v>12484.0</c:v>
                </c:pt>
                <c:pt idx="1">
                  <c:v>14220.0</c:v>
                </c:pt>
                <c:pt idx="2">
                  <c:v>14507.0</c:v>
                </c:pt>
                <c:pt idx="3">
                  <c:v>15112.0</c:v>
                </c:pt>
                <c:pt idx="4">
                  <c:v>16361.0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78264816"/>
        <c:axId val="-1982335584"/>
      </c:barChart>
      <c:catAx>
        <c:axId val="-197826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2335584"/>
        <c:crosses val="autoZero"/>
        <c:auto val="1"/>
        <c:lblAlgn val="ctr"/>
        <c:lblOffset val="100"/>
        <c:noMultiLvlLbl val="0"/>
      </c:catAx>
      <c:valAx>
        <c:axId val="-19823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 (USD</a:t>
                </a:r>
                <a:r>
                  <a:rPr lang="en-US" baseline="0"/>
                  <a:t> 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826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941347254500676"/>
          <c:y val="0.835274923261711"/>
          <c:w val="0.824946408130702"/>
          <c:h val="0.0799793140264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</a:t>
            </a:r>
            <a:r>
              <a:rPr lang="en-US" baseline="0"/>
              <a:t> Gross Margin Percentage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for Paper'!$A$28:$A$32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Paper'!$B$28:$B$32</c:f>
              <c:numCache>
                <c:formatCode>0.00%</c:formatCode>
                <c:ptCount val="5"/>
                <c:pt idx="0">
                  <c:v>0.1062</c:v>
                </c:pt>
                <c:pt idx="1">
                  <c:v>0.1066</c:v>
                </c:pt>
                <c:pt idx="2">
                  <c:v>0.1109</c:v>
                </c:pt>
                <c:pt idx="3">
                  <c:v>0.1135</c:v>
                </c:pt>
                <c:pt idx="4">
                  <c:v>0.1133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8031696"/>
        <c:axId val="-1978478480"/>
      </c:barChart>
      <c:catAx>
        <c:axId val="-209803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8478480"/>
        <c:crosses val="autoZero"/>
        <c:auto val="1"/>
        <c:lblAlgn val="ctr"/>
        <c:lblOffset val="100"/>
        <c:noMultiLvlLbl val="0"/>
      </c:catAx>
      <c:valAx>
        <c:axId val="-197847848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Gross Margin</a:t>
                </a:r>
              </a:p>
            </c:rich>
          </c:tx>
          <c:layout>
            <c:manualLayout>
              <c:xMode val="edge"/>
              <c:yMode val="edge"/>
              <c:x val="0.025"/>
              <c:y val="0.32996901428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crossAx val="-209803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Stability in Major Operating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for Paper'!$B$38</c:f>
              <c:strCache>
                <c:ptCount val="1"/>
                <c:pt idx="0">
                  <c:v>Merchandise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for Paper'!$A$39:$A$43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Paper'!$B$39:$B$43</c:f>
              <c:numCache>
                <c:formatCode>0%</c:formatCode>
                <c:ptCount val="5"/>
                <c:pt idx="0">
                  <c:v>0.865399977176766</c:v>
                </c:pt>
                <c:pt idx="1">
                  <c:v>0.864959161931818</c:v>
                </c:pt>
                <c:pt idx="2">
                  <c:v>0.860059036652639</c:v>
                </c:pt>
                <c:pt idx="3">
                  <c:v>0.856189826396786</c:v>
                </c:pt>
                <c:pt idx="4">
                  <c:v>0.856516179035071</c:v>
                </c:pt>
              </c:numCache>
            </c:numRef>
          </c:val>
        </c:ser>
        <c:ser>
          <c:idx val="1"/>
          <c:order val="1"/>
          <c:tx>
            <c:strRef>
              <c:f>'Graphs for Paper'!$C$38</c:f>
              <c:strCache>
                <c:ptCount val="1"/>
                <c:pt idx="0">
                  <c:v>Selling, General, Administrative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for Paper'!$A$39:$A$43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Paper'!$C$39:$C$43</c:f>
              <c:numCache>
                <c:formatCode>0%</c:formatCode>
                <c:ptCount val="5"/>
                <c:pt idx="0">
                  <c:v>0.0960858153600365</c:v>
                </c:pt>
                <c:pt idx="1">
                  <c:v>0.0967595880681818</c:v>
                </c:pt>
                <c:pt idx="2">
                  <c:v>0.0984948235354865</c:v>
                </c:pt>
                <c:pt idx="3">
                  <c:v>0.101651799627692</c:v>
                </c:pt>
                <c:pt idx="4">
                  <c:v>0.100368145708196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77689328"/>
        <c:axId val="-1978600192"/>
      </c:barChart>
      <c:catAx>
        <c:axId val="-197768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8600192"/>
        <c:crosses val="autoZero"/>
        <c:auto val="1"/>
        <c:lblAlgn val="ctr"/>
        <c:lblOffset val="100"/>
        <c:noMultiLvlLbl val="0"/>
      </c:catAx>
      <c:valAx>
        <c:axId val="-1978600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of Revenue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768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Dividend by</a:t>
            </a:r>
            <a:r>
              <a:rPr lang="en-US" baseline="0"/>
              <a:t> Fiscal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for Paper'!$B$63:$B$67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Paper'!$C$63:$C$67</c:f>
              <c:numCache>
                <c:formatCode>"$"#,##0.00_);[Red]\("$"#,##0.00\)</c:formatCode>
                <c:ptCount val="5"/>
                <c:pt idx="0">
                  <c:v>0.31</c:v>
                </c:pt>
                <c:pt idx="1">
                  <c:v>0.355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82592384"/>
        <c:axId val="-1982323936"/>
      </c:barChart>
      <c:catAx>
        <c:axId val="-198259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2323936"/>
        <c:crosses val="autoZero"/>
        <c:auto val="1"/>
        <c:lblAlgn val="ctr"/>
        <c:lblOffset val="100"/>
        <c:noMultiLvlLbl val="0"/>
      </c:catAx>
      <c:valAx>
        <c:axId val="-1982323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Quarterly Dividend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25923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</a:t>
            </a:r>
            <a:r>
              <a:rPr lang="en-US" baseline="0"/>
              <a:t> Share Repurchases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for Paper'!$B$76:$B$80</c:f>
              <c:numCache>
                <c:formatCode>General</c:formatCode>
                <c:ptCount val="5"/>
                <c:pt idx="0">
                  <c:v>2013.0</c:v>
                </c:pt>
                <c:pt idx="1">
                  <c:v>2014.0</c:v>
                </c:pt>
                <c:pt idx="2">
                  <c:v>2015.0</c:v>
                </c:pt>
                <c:pt idx="3">
                  <c:v>2016.0</c:v>
                </c:pt>
                <c:pt idx="4">
                  <c:v>2017.0</c:v>
                </c:pt>
              </c:numCache>
            </c:numRef>
          </c:cat>
          <c:val>
            <c:numRef>
              <c:f>'Graphs for Paper'!$C$76:$C$80</c:f>
              <c:numCache>
                <c:formatCode>General</c:formatCode>
                <c:ptCount val="5"/>
                <c:pt idx="0">
                  <c:v>34.0</c:v>
                </c:pt>
                <c:pt idx="1">
                  <c:v>334.0</c:v>
                </c:pt>
                <c:pt idx="2">
                  <c:v>494.0</c:v>
                </c:pt>
                <c:pt idx="3">
                  <c:v>477.0</c:v>
                </c:pt>
                <c:pt idx="4">
                  <c:v>473.0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7514720"/>
        <c:axId val="-2098926272"/>
      </c:barChart>
      <c:catAx>
        <c:axId val="-2097514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926272"/>
        <c:crosses val="autoZero"/>
        <c:auto val="1"/>
        <c:lblAlgn val="ctr"/>
        <c:lblOffset val="100"/>
        <c:noMultiLvlLbl val="0"/>
      </c:catAx>
      <c:valAx>
        <c:axId val="-2098926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 Repurchases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5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Relationship Id="rId3" Type="http://schemas.openxmlformats.org/officeDocument/2006/relationships/image" Target="../media/image3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7</xdr:row>
      <xdr:rowOff>101600</xdr:rowOff>
    </xdr:from>
    <xdr:to>
      <xdr:col>7</xdr:col>
      <xdr:colOff>647700</xdr:colOff>
      <xdr:row>27</xdr:row>
      <xdr:rowOff>65088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1473200"/>
          <a:ext cx="5257800" cy="37861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29</xdr:row>
      <xdr:rowOff>76200</xdr:rowOff>
    </xdr:from>
    <xdr:to>
      <xdr:col>7</xdr:col>
      <xdr:colOff>639779</xdr:colOff>
      <xdr:row>49</xdr:row>
      <xdr:rowOff>50016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5601" y="5664200"/>
          <a:ext cx="5275278" cy="3796516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0</xdr:rowOff>
    </xdr:from>
    <xdr:to>
      <xdr:col>1</xdr:col>
      <xdr:colOff>1706062</xdr:colOff>
      <xdr:row>10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100" y="977900"/>
          <a:ext cx="3484062" cy="100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698500</xdr:colOff>
      <xdr:row>31</xdr:row>
      <xdr:rowOff>63500</xdr:rowOff>
    </xdr:from>
    <xdr:to>
      <xdr:col>26</xdr:col>
      <xdr:colOff>717203</xdr:colOff>
      <xdr:row>56</xdr:row>
      <xdr:rowOff>26006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948F914-6DAA-478C-A20C-3BA60B603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00" y="6180667"/>
          <a:ext cx="9564870" cy="4788506"/>
        </a:xfrm>
        <a:prstGeom prst="rect">
          <a:avLst/>
        </a:prstGeom>
      </xdr:spPr>
    </xdr:pic>
    <xdr:clientData/>
  </xdr:twoCellAnchor>
  <xdr:twoCellAnchor editAs="oneCell">
    <xdr:from>
      <xdr:col>17</xdr:col>
      <xdr:colOff>507999</xdr:colOff>
      <xdr:row>59</xdr:row>
      <xdr:rowOff>42334</xdr:rowOff>
    </xdr:from>
    <xdr:to>
      <xdr:col>25</xdr:col>
      <xdr:colOff>723129</xdr:colOff>
      <xdr:row>103</xdr:row>
      <xdr:rowOff>80763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C076667-FA38-4E7E-B92C-E72DA3177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18666" y="11557001"/>
          <a:ext cx="7157796" cy="85685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50800</xdr:rowOff>
    </xdr:from>
    <xdr:to>
      <xdr:col>14</xdr:col>
      <xdr:colOff>63500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368300</xdr:colOff>
      <xdr:row>21</xdr:row>
      <xdr:rowOff>50800</xdr:rowOff>
    </xdr:from>
    <xdr:to>
      <xdr:col>11</xdr:col>
      <xdr:colOff>812800</xdr:colOff>
      <xdr:row>35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400050</xdr:colOff>
      <xdr:row>43</xdr:row>
      <xdr:rowOff>12700</xdr:rowOff>
    </xdr:from>
    <xdr:to>
      <xdr:col>12</xdr:col>
      <xdr:colOff>19050</xdr:colOff>
      <xdr:row>57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342900</xdr:colOff>
      <xdr:row>56</xdr:row>
      <xdr:rowOff>50800</xdr:rowOff>
    </xdr:from>
    <xdr:to>
      <xdr:col>10</xdr:col>
      <xdr:colOff>787400</xdr:colOff>
      <xdr:row>70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425450</xdr:colOff>
      <xdr:row>72</xdr:row>
      <xdr:rowOff>76200</xdr:rowOff>
    </xdr:from>
    <xdr:to>
      <xdr:col>11</xdr:col>
      <xdr:colOff>44450</xdr:colOff>
      <xdr:row>86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shad/Downloads/COST_v8-2-w-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  <sheetName val="BS"/>
      <sheetName val="IS"/>
      <sheetName val="RG"/>
      <sheetName val="VD"/>
      <sheetName val="P-DCF"/>
      <sheetName val="Tuned P-DCF"/>
      <sheetName val="CB_DATA_"/>
      <sheetName val="MC"/>
      <sheetName val="Graphs for Paper"/>
    </sheetNames>
    <sheetDataSet>
      <sheetData sheetId="0"/>
      <sheetData sheetId="1"/>
      <sheetData sheetId="2"/>
      <sheetData sheetId="3">
        <row r="12">
          <cell r="A12" t="str">
            <v>United States Operations</v>
          </cell>
        </row>
        <row r="13">
          <cell r="C13">
            <v>6.6019366033936988E-2</v>
          </cell>
          <cell r="D13">
            <v>4.8137977310287461E-2</v>
          </cell>
          <cell r="E13">
            <v>2.64134390819315E-2</v>
          </cell>
          <cell r="F13">
            <v>8.4431559616073182E-2</v>
          </cell>
          <cell r="G13">
            <v>5.6250585510557283E-2</v>
          </cell>
          <cell r="H13">
            <v>1.9834015703874136E-2</v>
          </cell>
        </row>
        <row r="15">
          <cell r="A15" t="str">
            <v>Canadian Operations</v>
          </cell>
        </row>
        <row r="16">
          <cell r="C16">
            <v>4.4472902962919836E-2</v>
          </cell>
          <cell r="D16">
            <v>-3.3550688290698294E-2</v>
          </cell>
          <cell r="E16">
            <v>-1.8049708782653773E-2</v>
          </cell>
          <cell r="F16">
            <v>0.10259572468874789</v>
          </cell>
          <cell r="G16">
            <v>2.3867057644578915E-2</v>
          </cell>
          <cell r="H16">
            <v>4.1305847320745104E-2</v>
          </cell>
        </row>
        <row r="18">
          <cell r="A18" t="str">
            <v>Other International Operations</v>
          </cell>
        </row>
        <row r="19">
          <cell r="C19">
            <v>0.13905799423261778</v>
          </cell>
          <cell r="D19">
            <v>2.0182841068917101E-2</v>
          </cell>
          <cell r="E19">
            <v>4.1704004963121211E-2</v>
          </cell>
          <cell r="F19">
            <v>8.264955002646901E-2</v>
          </cell>
          <cell r="G19">
            <v>7.0898597572781275E-2</v>
          </cell>
          <cell r="H19">
            <v>6.3340694872701109E-2</v>
          </cell>
        </row>
        <row r="28">
          <cell r="B28">
            <v>93889</v>
          </cell>
        </row>
        <row r="31">
          <cell r="B31">
            <v>18775</v>
          </cell>
        </row>
        <row r="34">
          <cell r="B34">
            <v>16361</v>
          </cell>
        </row>
      </sheetData>
      <sheetData sheetId="4">
        <row r="13">
          <cell r="H13">
            <v>2.6181836462256285E-2</v>
          </cell>
        </row>
        <row r="16">
          <cell r="A16" t="str">
            <v>Merchandise costs, Net D&amp;A</v>
          </cell>
          <cell r="B16">
            <v>0.86539997717676598</v>
          </cell>
          <cell r="C16">
            <v>0.86495916193181821</v>
          </cell>
          <cell r="D16">
            <v>0.86005903665263905</v>
          </cell>
          <cell r="E16">
            <v>0.85618982639678565</v>
          </cell>
          <cell r="F16">
            <v>0.85651617903507071</v>
          </cell>
          <cell r="G16">
            <v>0.86062483623861596</v>
          </cell>
          <cell r="H16">
            <v>4.3725479093434808E-3</v>
          </cell>
        </row>
        <row r="17">
          <cell r="A17" t="str">
            <v>Selling, general and administrative</v>
          </cell>
          <cell r="B17">
            <v>9.6085815360036519E-2</v>
          </cell>
          <cell r="C17">
            <v>9.6759588068181815E-2</v>
          </cell>
          <cell r="D17">
            <v>9.8494823535486539E-2</v>
          </cell>
          <cell r="E17">
            <v>0.10165179962769229</v>
          </cell>
          <cell r="F17">
            <v>0.10036814570819609</v>
          </cell>
          <cell r="G17">
            <v>9.8672034459918651E-2</v>
          </cell>
          <cell r="H17">
            <v>2.4857719296725654E-3</v>
          </cell>
        </row>
        <row r="18">
          <cell r="A18" t="str">
            <v>Preopening expenses</v>
          </cell>
          <cell r="B18">
            <v>4.8499372361063563E-4</v>
          </cell>
          <cell r="C18">
            <v>5.593039772727273E-4</v>
          </cell>
          <cell r="D18">
            <v>5.5938519264365442E-4</v>
          </cell>
          <cell r="E18">
            <v>6.5701362039774589E-4</v>
          </cell>
          <cell r="F18">
            <v>6.3553574888587487E-4</v>
          </cell>
          <cell r="G18">
            <v>5.7924645256212759E-4</v>
          </cell>
          <cell r="H18">
            <v>7.05487067068761E-5</v>
          </cell>
        </row>
        <row r="23">
          <cell r="A23" t="str">
            <v>Interest expense as % of Total Debt</v>
          </cell>
          <cell r="B23">
            <v>1.9807923169267706E-2</v>
          </cell>
          <cell r="C23">
            <v>2.2187315923817005E-2</v>
          </cell>
          <cell r="D23">
            <v>2.0211898940505298E-2</v>
          </cell>
          <cell r="E23">
            <v>2.5770199573726022E-2</v>
          </cell>
          <cell r="F23">
            <v>2.0123141612854781E-2</v>
          </cell>
          <cell r="G23">
            <v>2.1620095844034161E-2</v>
          </cell>
          <cell r="H23">
            <v>2.7234702076473546E-3</v>
          </cell>
        </row>
        <row r="24">
          <cell r="A24" t="str">
            <v>Interest income and other, net as % of Rev</v>
          </cell>
          <cell r="B24">
            <v>-9.2243904294571875E-4</v>
          </cell>
          <cell r="C24">
            <v>-7.9900568181818187E-4</v>
          </cell>
          <cell r="D24">
            <v>-8.9501630822984703E-4</v>
          </cell>
          <cell r="E24">
            <v>-6.738601234848676E-4</v>
          </cell>
          <cell r="F24">
            <v>-4.8052702964541754E-4</v>
          </cell>
          <cell r="G24">
            <v>-7.5416963722480662E-4</v>
          </cell>
          <cell r="H24">
            <v>1.1238653145296337E-4</v>
          </cell>
        </row>
        <row r="25">
          <cell r="A25" t="str">
            <v>Depreciation &amp; Amortization as % of Rev</v>
          </cell>
          <cell r="B25">
            <v>8.9961580889345357E-3</v>
          </cell>
          <cell r="C25">
            <v>9.1352982954545463E-3</v>
          </cell>
          <cell r="D25">
            <v>9.6988786478368998E-3</v>
          </cell>
          <cell r="E25">
            <v>1.0571180687168861E-2</v>
          </cell>
          <cell r="F25">
            <v>1.0618097267971324E-2</v>
          </cell>
          <cell r="G25">
            <v>9.8039225974732337E-3</v>
          </cell>
          <cell r="H25">
            <v>7.1496877963147371E-4</v>
          </cell>
        </row>
        <row r="28">
          <cell r="A28" t="str">
            <v>Provision for income taxes (as % of EBT)</v>
          </cell>
          <cell r="B28">
            <v>0.32448377581120946</v>
          </cell>
          <cell r="C28">
            <v>0.34688770722552392</v>
          </cell>
          <cell r="D28">
            <v>0.33157602663706992</v>
          </cell>
          <cell r="E28">
            <v>0.34346504559270519</v>
          </cell>
          <cell r="F28">
            <v>0.32805149789551868</v>
          </cell>
          <cell r="G28">
            <v>0.3348928106324055</v>
          </cell>
          <cell r="H28">
            <v>1.0408472966511508E-2</v>
          </cell>
        </row>
        <row r="29">
          <cell r="A29" t="str">
            <v>Net income attributable to noncontrolling interests as % of Rev</v>
          </cell>
          <cell r="B29">
            <v>2.0921297881243105E-4</v>
          </cell>
          <cell r="C29">
            <v>2.6633522727272725E-4</v>
          </cell>
          <cell r="D29">
            <v>2.753896333014914E-4</v>
          </cell>
          <cell r="E29">
            <v>2.1900454013258199E-4</v>
          </cell>
          <cell r="F29">
            <v>2.7126525867080025E-4</v>
          </cell>
          <cell r="G29">
            <v>2.4824152763800638E-4</v>
          </cell>
          <cell r="H29">
            <v>3.3215998262595775E-5</v>
          </cell>
        </row>
        <row r="32">
          <cell r="A32" t="str">
            <v>Change in Working Capital</v>
          </cell>
          <cell r="C32">
            <v>-4.4477982954545456E-3</v>
          </cell>
          <cell r="D32">
            <v>-1.720324615530254E-2</v>
          </cell>
          <cell r="E32">
            <v>6.9491825234376976E-3</v>
          </cell>
          <cell r="F32">
            <v>-7.6574307304785897E-3</v>
          </cell>
          <cell r="G32">
            <v>-4.9006206424397963E-3</v>
          </cell>
          <cell r="H32">
            <v>1.2082579974031019E-2</v>
          </cell>
        </row>
        <row r="33">
          <cell r="A33" t="str">
            <v>Capital Expenditures (CAPEX)</v>
          </cell>
          <cell r="C33">
            <v>2.3810369318181819E-2</v>
          </cell>
          <cell r="D33">
            <v>1.8210139502061119E-2</v>
          </cell>
          <cell r="E33">
            <v>3.165457930070166E-2</v>
          </cell>
          <cell r="F33">
            <v>2.7467545049409028E-2</v>
          </cell>
          <cell r="G33">
            <v>2.4558362706981533E-2</v>
          </cell>
          <cell r="H33">
            <v>6.7533592350091627E-3</v>
          </cell>
        </row>
        <row r="36">
          <cell r="B36">
            <v>0.10753652233531923</v>
          </cell>
          <cell r="C36">
            <v>0.10232188137025738</v>
          </cell>
          <cell r="D36">
            <v>0.1244307176883209</v>
          </cell>
          <cell r="E36">
            <v>0.10476572600419075</v>
          </cell>
          <cell r="F36">
            <v>0.11343523732904282</v>
          </cell>
          <cell r="G36">
            <v>0.10232188137025738</v>
          </cell>
          <cell r="H36">
            <v>0.10976371184952208</v>
          </cell>
          <cell r="I36">
            <v>0.1244307176883209</v>
          </cell>
        </row>
        <row r="37">
          <cell r="B37">
            <v>1.93902392635702E-2</v>
          </cell>
          <cell r="C37">
            <v>1.8270596590908975E-2</v>
          </cell>
          <cell r="D37">
            <v>2.0456286198676357E-2</v>
          </cell>
          <cell r="E37">
            <v>1.979464112736801E-2</v>
          </cell>
          <cell r="F37">
            <v>2.0763417942259284E-2</v>
          </cell>
          <cell r="G37">
            <v>1.8270596590908975E-2</v>
          </cell>
          <cell r="H37">
            <v>1.9477940795130884E-2</v>
          </cell>
          <cell r="I37">
            <v>2.0456286198676357E-2</v>
          </cell>
        </row>
        <row r="38">
          <cell r="B38">
            <v>0.19991251093613299</v>
          </cell>
          <cell r="C38">
            <v>0.20130504261363635</v>
          </cell>
          <cell r="D38">
            <v>0.2036506338264529</v>
          </cell>
          <cell r="E38">
            <v>0.22041122314035663</v>
          </cell>
          <cell r="F38">
            <v>0.21965510559968998</v>
          </cell>
          <cell r="G38">
            <v>0.19991251093613299</v>
          </cell>
          <cell r="H38">
            <v>0.20631985262914473</v>
          </cell>
          <cell r="I38">
            <v>0.22041122314035663</v>
          </cell>
        </row>
        <row r="39">
          <cell r="B39">
            <v>1.1086967986920522</v>
          </cell>
          <cell r="C39">
            <v>1.1273803012976682</v>
          </cell>
          <cell r="D39">
            <v>1.2387583102130555</v>
          </cell>
          <cell r="E39">
            <v>1.1665552137666622</v>
          </cell>
          <cell r="F39">
            <v>1.2000254054282933</v>
          </cell>
          <cell r="G39">
            <v>1.1086967986920522</v>
          </cell>
          <cell r="H39">
            <v>1.1603476559923596</v>
          </cell>
          <cell r="I39">
            <v>1.2387583102130555</v>
          </cell>
        </row>
        <row r="43">
          <cell r="G43">
            <v>0.87839303492362009</v>
          </cell>
          <cell r="H43">
            <v>2.1085940280334432</v>
          </cell>
          <cell r="I43">
            <v>3.7392253543153839</v>
          </cell>
        </row>
        <row r="50">
          <cell r="E50">
            <v>-3736</v>
          </cell>
        </row>
        <row r="53">
          <cell r="E53">
            <v>26167</v>
          </cell>
        </row>
        <row r="91">
          <cell r="E91">
            <v>441263</v>
          </cell>
        </row>
        <row r="103">
          <cell r="E103">
            <v>3379</v>
          </cell>
        </row>
        <row r="125">
          <cell r="E125">
            <v>1100</v>
          </cell>
        </row>
        <row r="134">
          <cell r="E134">
            <v>4061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4" workbookViewId="0">
      <selection activeCell="J28" sqref="J28"/>
    </sheetView>
  </sheetViews>
  <sheetFormatPr baseColWidth="10" defaultColWidth="8.83203125" defaultRowHeight="15" x14ac:dyDescent="0.2"/>
  <cols>
    <col min="1" max="1" width="25.5" bestFit="1" customWidth="1"/>
    <col min="2" max="2" width="24.1640625" bestFit="1" customWidth="1"/>
    <col min="5" max="5" width="30.5" bestFit="1" customWidth="1"/>
  </cols>
  <sheetData>
    <row r="1" spans="1:8" x14ac:dyDescent="0.2">
      <c r="A1" s="1" t="s">
        <v>3</v>
      </c>
    </row>
    <row r="2" spans="1:8" ht="16" thickBot="1" x14ac:dyDescent="0.25">
      <c r="A2" s="1" t="s">
        <v>2</v>
      </c>
      <c r="F2" s="270" t="s">
        <v>197</v>
      </c>
      <c r="G2" s="270"/>
      <c r="H2" s="270"/>
    </row>
    <row r="3" spans="1:8" ht="16" thickBot="1" x14ac:dyDescent="0.25">
      <c r="A3" s="1" t="s">
        <v>0</v>
      </c>
      <c r="E3" s="211" t="s">
        <v>198</v>
      </c>
      <c r="F3" s="212" t="s">
        <v>199</v>
      </c>
      <c r="G3" s="212" t="s">
        <v>200</v>
      </c>
      <c r="H3" s="213" t="s">
        <v>201</v>
      </c>
    </row>
    <row r="4" spans="1:8" x14ac:dyDescent="0.2">
      <c r="A4" s="1" t="s">
        <v>1</v>
      </c>
      <c r="E4" s="214" t="s">
        <v>202</v>
      </c>
      <c r="F4" s="215">
        <v>0.11360000000000001</v>
      </c>
      <c r="G4" s="215">
        <v>0.43590000000000001</v>
      </c>
      <c r="H4" s="216">
        <v>0.99319999999999997</v>
      </c>
    </row>
    <row r="5" spans="1:8" x14ac:dyDescent="0.2">
      <c r="E5" s="217" t="s">
        <v>203</v>
      </c>
      <c r="F5" s="218">
        <v>0.22389999999999999</v>
      </c>
      <c r="G5" s="219">
        <v>0.4622</v>
      </c>
      <c r="H5" s="220">
        <v>0.95340000000000003</v>
      </c>
    </row>
    <row r="6" spans="1:8" ht="16" thickBot="1" x14ac:dyDescent="0.25">
      <c r="E6" s="221" t="s">
        <v>204</v>
      </c>
      <c r="F6" s="222">
        <v>7.5499999999999998E-2</v>
      </c>
      <c r="G6" s="222">
        <v>0.33979999999999999</v>
      </c>
      <c r="H6" s="223">
        <v>0.72619999999999996</v>
      </c>
    </row>
    <row r="12" spans="1:8" ht="16" thickBot="1" x14ac:dyDescent="0.25"/>
    <row r="13" spans="1:8" x14ac:dyDescent="0.2">
      <c r="A13" s="224" t="s">
        <v>205</v>
      </c>
      <c r="B13" s="212" t="s">
        <v>3</v>
      </c>
    </row>
    <row r="14" spans="1:8" x14ac:dyDescent="0.2">
      <c r="A14" s="225" t="s">
        <v>206</v>
      </c>
      <c r="B14" s="226">
        <v>43024</v>
      </c>
    </row>
    <row r="15" spans="1:8" x14ac:dyDescent="0.2">
      <c r="A15" s="225" t="s">
        <v>207</v>
      </c>
      <c r="B15" s="226" t="s">
        <v>208</v>
      </c>
    </row>
    <row r="16" spans="1:8" x14ac:dyDescent="0.2">
      <c r="A16" s="225" t="s">
        <v>179</v>
      </c>
      <c r="B16" s="227">
        <v>157.49</v>
      </c>
    </row>
    <row r="17" spans="1:2" x14ac:dyDescent="0.2">
      <c r="A17" s="225" t="s">
        <v>209</v>
      </c>
      <c r="B17" s="227" t="s">
        <v>210</v>
      </c>
    </row>
    <row r="18" spans="1:2" x14ac:dyDescent="0.2">
      <c r="A18" s="225" t="s">
        <v>211</v>
      </c>
      <c r="B18" s="227" t="s">
        <v>212</v>
      </c>
    </row>
    <row r="19" spans="1:2" x14ac:dyDescent="0.2">
      <c r="A19" s="225" t="s">
        <v>213</v>
      </c>
      <c r="B19" s="228" t="s">
        <v>214</v>
      </c>
    </row>
    <row r="20" spans="1:2" x14ac:dyDescent="0.2">
      <c r="A20" s="225" t="s">
        <v>215</v>
      </c>
      <c r="B20" s="227" t="s">
        <v>216</v>
      </c>
    </row>
    <row r="21" spans="1:2" x14ac:dyDescent="0.2">
      <c r="A21" s="225" t="s">
        <v>166</v>
      </c>
      <c r="B21" s="227" t="s">
        <v>217</v>
      </c>
    </row>
    <row r="22" spans="1:2" x14ac:dyDescent="0.2">
      <c r="A22" s="225" t="s">
        <v>218</v>
      </c>
      <c r="B22" s="227" t="s">
        <v>219</v>
      </c>
    </row>
    <row r="23" spans="1:2" x14ac:dyDescent="0.2">
      <c r="A23" s="225" t="s">
        <v>220</v>
      </c>
      <c r="B23" s="229">
        <v>1.2500000000000001E-2</v>
      </c>
    </row>
    <row r="24" spans="1:2" x14ac:dyDescent="0.2">
      <c r="A24" s="225" t="s">
        <v>221</v>
      </c>
      <c r="B24" s="229">
        <v>1.26E-2</v>
      </c>
    </row>
    <row r="25" spans="1:2" x14ac:dyDescent="0.2">
      <c r="A25" s="225" t="s">
        <v>222</v>
      </c>
      <c r="B25" s="227" t="s">
        <v>223</v>
      </c>
    </row>
    <row r="26" spans="1:2" x14ac:dyDescent="0.2">
      <c r="A26" s="225" t="s">
        <v>224</v>
      </c>
      <c r="B26" s="230">
        <v>27.27</v>
      </c>
    </row>
    <row r="27" spans="1:2" x14ac:dyDescent="0.2">
      <c r="A27" s="225" t="s">
        <v>225</v>
      </c>
      <c r="B27" s="227" t="s">
        <v>226</v>
      </c>
    </row>
    <row r="28" spans="1:2" x14ac:dyDescent="0.2">
      <c r="A28" s="225" t="s">
        <v>227</v>
      </c>
      <c r="B28" s="227" t="s">
        <v>228</v>
      </c>
    </row>
    <row r="29" spans="1:2" x14ac:dyDescent="0.2">
      <c r="A29" s="225" t="s">
        <v>229</v>
      </c>
      <c r="B29" s="227" t="s">
        <v>230</v>
      </c>
    </row>
    <row r="30" spans="1:2" x14ac:dyDescent="0.2">
      <c r="A30" s="225" t="s">
        <v>231</v>
      </c>
      <c r="B30" s="227" t="s">
        <v>232</v>
      </c>
    </row>
    <row r="31" spans="1:2" x14ac:dyDescent="0.2">
      <c r="A31" s="225" t="s">
        <v>233</v>
      </c>
      <c r="B31" s="227" t="s">
        <v>234</v>
      </c>
    </row>
    <row r="32" spans="1:2" ht="16" thickBot="1" x14ac:dyDescent="0.25">
      <c r="A32" s="225" t="s">
        <v>235</v>
      </c>
      <c r="B32" s="231" t="s">
        <v>236</v>
      </c>
    </row>
    <row r="33" spans="1:2" x14ac:dyDescent="0.2">
      <c r="A33" s="271" t="s">
        <v>247</v>
      </c>
      <c r="B33" s="272"/>
    </row>
    <row r="34" spans="1:2" x14ac:dyDescent="0.2">
      <c r="A34" s="273" t="s">
        <v>237</v>
      </c>
      <c r="B34" s="273"/>
    </row>
  </sheetData>
  <mergeCells count="3">
    <mergeCell ref="F2:H2"/>
    <mergeCell ref="A33:B33"/>
    <mergeCell ref="A34:B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62" zoomScaleNormal="70" zoomScalePageLayoutView="70" workbookViewId="0">
      <selection activeCell="A9" sqref="A9:F61"/>
    </sheetView>
  </sheetViews>
  <sheetFormatPr baseColWidth="10" defaultColWidth="8.83203125" defaultRowHeight="15" x14ac:dyDescent="0.2"/>
  <cols>
    <col min="1" max="1" width="36.6640625" customWidth="1"/>
    <col min="2" max="6" width="9.83203125" bestFit="1" customWidth="1"/>
  </cols>
  <sheetData>
    <row r="1" spans="1:16" x14ac:dyDescent="0.2">
      <c r="A1" s="1" t="s">
        <v>3</v>
      </c>
    </row>
    <row r="2" spans="1:16" x14ac:dyDescent="0.2">
      <c r="A2" s="1" t="s">
        <v>2</v>
      </c>
    </row>
    <row r="3" spans="1:16" x14ac:dyDescent="0.2">
      <c r="A3" s="1" t="s">
        <v>4</v>
      </c>
    </row>
    <row r="4" spans="1:16" x14ac:dyDescent="0.2">
      <c r="A4" s="1" t="s">
        <v>117</v>
      </c>
    </row>
    <row r="5" spans="1:16" x14ac:dyDescent="0.2">
      <c r="A5" s="1" t="s">
        <v>1</v>
      </c>
    </row>
    <row r="9" spans="1:16" x14ac:dyDescent="0.2">
      <c r="A9" t="s">
        <v>5</v>
      </c>
      <c r="B9" s="2">
        <v>41518</v>
      </c>
      <c r="C9" s="2">
        <v>41882</v>
      </c>
      <c r="D9" s="2">
        <v>42246</v>
      </c>
      <c r="E9" s="2">
        <v>42610</v>
      </c>
      <c r="F9" s="2">
        <v>42975</v>
      </c>
      <c r="G9" s="1" t="s">
        <v>73</v>
      </c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t="s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3" t="s">
        <v>8</v>
      </c>
      <c r="B11" s="8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4" t="s">
        <v>7</v>
      </c>
      <c r="B12" s="9">
        <v>4644</v>
      </c>
      <c r="C12" s="5">
        <v>5738</v>
      </c>
      <c r="D12" s="257">
        <v>4801</v>
      </c>
      <c r="E12" s="257">
        <v>3379</v>
      </c>
      <c r="F12" s="5">
        <v>4546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4" t="s">
        <v>9</v>
      </c>
      <c r="B13" s="10">
        <v>1480</v>
      </c>
      <c r="C13" s="6">
        <v>1577</v>
      </c>
      <c r="D13" s="258">
        <v>1618</v>
      </c>
      <c r="E13" s="258">
        <v>1350</v>
      </c>
      <c r="F13" s="6">
        <v>1233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4" t="s">
        <v>10</v>
      </c>
      <c r="B14" s="10">
        <v>1201</v>
      </c>
      <c r="C14" s="6">
        <v>1148</v>
      </c>
      <c r="D14" s="6">
        <v>1224</v>
      </c>
      <c r="E14" s="6">
        <v>1252</v>
      </c>
      <c r="F14" s="6">
        <v>1432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4" t="s">
        <v>11</v>
      </c>
      <c r="B15" s="10">
        <v>7894</v>
      </c>
      <c r="C15" s="6">
        <v>8456</v>
      </c>
      <c r="D15" s="6">
        <v>8908</v>
      </c>
      <c r="E15" s="6">
        <v>8969</v>
      </c>
      <c r="F15" s="6">
        <v>9834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4" t="s">
        <v>12</v>
      </c>
      <c r="B16" s="8">
        <v>621</v>
      </c>
      <c r="C16" s="258">
        <v>669</v>
      </c>
      <c r="D16" s="258">
        <v>228</v>
      </c>
      <c r="E16" s="6">
        <v>268</v>
      </c>
      <c r="F16" s="6">
        <v>272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4" t="s">
        <v>13</v>
      </c>
      <c r="B17" s="10">
        <v>15840</v>
      </c>
      <c r="C17" s="6">
        <v>17588</v>
      </c>
      <c r="D17" s="6">
        <v>16779</v>
      </c>
      <c r="E17" s="6">
        <v>15218</v>
      </c>
      <c r="F17" s="6">
        <v>17317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4" t="s">
        <v>104</v>
      </c>
      <c r="B18" s="10">
        <f>SUM(B12:B16)</f>
        <v>15840</v>
      </c>
      <c r="C18" s="10">
        <f t="shared" ref="C18:E18" si="0">SUM(C12:C16)</f>
        <v>17588</v>
      </c>
      <c r="D18" s="10">
        <f t="shared" si="0"/>
        <v>16779</v>
      </c>
      <c r="E18" s="10">
        <f t="shared" si="0"/>
        <v>15218</v>
      </c>
      <c r="F18" s="10">
        <f>SUM(F12:F16)</f>
        <v>17317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4" t="s">
        <v>105</v>
      </c>
      <c r="B19" s="15" t="b">
        <f>B18=B17</f>
        <v>1</v>
      </c>
      <c r="C19" s="15" t="b">
        <f t="shared" ref="C19:F19" si="1">C18=C17</f>
        <v>1</v>
      </c>
      <c r="D19" s="15" t="b">
        <f t="shared" si="1"/>
        <v>1</v>
      </c>
      <c r="E19" s="15" t="b">
        <f t="shared" si="1"/>
        <v>1</v>
      </c>
      <c r="F19" s="15" t="b">
        <f t="shared" si="1"/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3" t="s">
        <v>14</v>
      </c>
      <c r="B20" s="8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4" t="s">
        <v>15</v>
      </c>
      <c r="B21" s="10">
        <v>4409</v>
      </c>
      <c r="C21" s="6">
        <v>4716</v>
      </c>
      <c r="D21" s="6">
        <v>4961</v>
      </c>
      <c r="E21" s="6">
        <v>5395</v>
      </c>
      <c r="F21" s="6">
        <v>5690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4" t="s">
        <v>16</v>
      </c>
      <c r="B22" s="10">
        <v>11556</v>
      </c>
      <c r="C22" s="6">
        <v>12522</v>
      </c>
      <c r="D22" s="6">
        <v>12618</v>
      </c>
      <c r="E22" s="6">
        <v>13994</v>
      </c>
      <c r="F22" s="6">
        <v>15127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4" t="s">
        <v>17</v>
      </c>
      <c r="B23" s="10">
        <v>4472</v>
      </c>
      <c r="C23" s="6">
        <v>4845</v>
      </c>
      <c r="D23" s="6">
        <v>5274</v>
      </c>
      <c r="E23" s="6">
        <v>6077</v>
      </c>
      <c r="F23" s="6">
        <v>6681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4" t="s">
        <v>18</v>
      </c>
      <c r="B24" s="8">
        <v>585</v>
      </c>
      <c r="C24" s="6">
        <v>592</v>
      </c>
      <c r="D24" s="6">
        <v>811</v>
      </c>
      <c r="E24" s="6">
        <v>701</v>
      </c>
      <c r="F24" s="6">
        <v>843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4" t="s">
        <v>19</v>
      </c>
      <c r="B25" s="10">
        <v>21022</v>
      </c>
      <c r="C25" s="6">
        <v>22675</v>
      </c>
      <c r="D25" s="6">
        <v>23664</v>
      </c>
      <c r="E25" s="6">
        <v>26167</v>
      </c>
      <c r="F25" s="6">
        <v>28341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x14ac:dyDescent="0.2">
      <c r="A26" s="4" t="s">
        <v>20</v>
      </c>
      <c r="B26" s="6">
        <v>-7141</v>
      </c>
      <c r="C26" s="6">
        <v>-7845</v>
      </c>
      <c r="D26" s="6">
        <v>-8263</v>
      </c>
      <c r="E26" s="6">
        <v>-9124</v>
      </c>
      <c r="F26" s="6">
        <v>-10180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4" t="s">
        <v>21</v>
      </c>
      <c r="B27" s="10">
        <v>13881</v>
      </c>
      <c r="C27" s="6">
        <v>14830</v>
      </c>
      <c r="D27" s="6">
        <v>15401</v>
      </c>
      <c r="E27" s="6">
        <v>17043</v>
      </c>
      <c r="F27" s="6">
        <v>18161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4" t="s">
        <v>22</v>
      </c>
      <c r="B28" s="8">
        <v>562</v>
      </c>
      <c r="C28" s="6">
        <v>606</v>
      </c>
      <c r="D28" s="6">
        <v>837</v>
      </c>
      <c r="E28" s="6">
        <v>902</v>
      </c>
      <c r="F28" s="6">
        <v>869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4" t="s">
        <v>23</v>
      </c>
      <c r="B29" s="10">
        <v>30283</v>
      </c>
      <c r="C29" s="6">
        <v>33024</v>
      </c>
      <c r="D29" s="6">
        <v>33017</v>
      </c>
      <c r="E29" s="6">
        <v>33163</v>
      </c>
      <c r="F29" s="6">
        <v>36347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4" t="s">
        <v>106</v>
      </c>
      <c r="B30" s="10">
        <f>SUM(B18,B21:B24,B26,B28)</f>
        <v>30283</v>
      </c>
      <c r="C30" s="10">
        <f>SUM(C18,C21:C24,C26,C28)</f>
        <v>33024</v>
      </c>
      <c r="D30" s="10">
        <f>SUM(D18,D21:D24,D26,D28)</f>
        <v>33017</v>
      </c>
      <c r="E30" s="10">
        <f>SUM(E18,E21:E24,E26,E28)</f>
        <v>33163</v>
      </c>
      <c r="F30" s="10">
        <f>SUM(F18,F21:F24,F26,F28)</f>
        <v>36347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14" t="s">
        <v>105</v>
      </c>
      <c r="B31" s="15" t="b">
        <f>B30=B29</f>
        <v>1</v>
      </c>
      <c r="C31" s="15" t="b">
        <f t="shared" ref="C31" si="2">C30=C29</f>
        <v>1</v>
      </c>
      <c r="D31" s="15" t="b">
        <f t="shared" ref="D31" si="3">D30=D29</f>
        <v>1</v>
      </c>
      <c r="E31" s="15" t="b">
        <f t="shared" ref="E31" si="4">E30=E29</f>
        <v>1</v>
      </c>
      <c r="F31" s="15" t="b">
        <f t="shared" ref="F31" si="5">F30=F29</f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3" t="s">
        <v>24</v>
      </c>
      <c r="B32" s="8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">
      <c r="A33" s="4" t="s">
        <v>25</v>
      </c>
      <c r="B33" s="10">
        <v>7872</v>
      </c>
      <c r="C33" s="6">
        <v>8491</v>
      </c>
      <c r="D33" s="258">
        <v>9011</v>
      </c>
      <c r="E33" s="6">
        <v>7612</v>
      </c>
      <c r="F33" s="6">
        <v>9608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4" t="s">
        <v>26</v>
      </c>
      <c r="B34" s="6">
        <v>0</v>
      </c>
      <c r="C34" s="6">
        <v>0</v>
      </c>
      <c r="D34" s="6">
        <v>1283</v>
      </c>
      <c r="E34" s="6">
        <v>1100</v>
      </c>
      <c r="F34" s="258">
        <v>86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4"/>
      <c r="C35" s="6"/>
      <c r="D35" s="6"/>
      <c r="E35" s="6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4" t="s">
        <v>27</v>
      </c>
      <c r="B36" s="10">
        <v>2037</v>
      </c>
      <c r="C36" s="6">
        <v>2231</v>
      </c>
      <c r="D36" s="6">
        <v>2468</v>
      </c>
      <c r="E36" s="6">
        <v>2629</v>
      </c>
      <c r="F36" s="6">
        <v>2703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4"/>
      <c r="C37" s="6"/>
      <c r="D37" s="6"/>
      <c r="E37" s="6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4" t="s">
        <v>28</v>
      </c>
      <c r="B38" s="8">
        <v>710</v>
      </c>
      <c r="C38" s="6">
        <v>773</v>
      </c>
      <c r="D38" s="6">
        <v>813</v>
      </c>
      <c r="E38" s="6">
        <v>869</v>
      </c>
      <c r="F38" s="6">
        <v>961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A39" s="4" t="s">
        <v>71</v>
      </c>
      <c r="B39" s="8">
        <v>382</v>
      </c>
      <c r="C39" s="6"/>
      <c r="D39" s="6"/>
      <c r="E39" s="6"/>
      <c r="G39" s="1" t="s">
        <v>72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4" t="s">
        <v>29</v>
      </c>
      <c r="B40" s="10">
        <v>1167</v>
      </c>
      <c r="C40" s="6">
        <v>1254</v>
      </c>
      <c r="D40" s="6">
        <v>1269</v>
      </c>
      <c r="E40" s="6">
        <v>1362</v>
      </c>
      <c r="F40" s="6">
        <v>1498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4" t="s">
        <v>30</v>
      </c>
      <c r="B41" s="10">
        <v>1089</v>
      </c>
      <c r="C41" s="6">
        <v>1663</v>
      </c>
      <c r="D41" s="6">
        <v>1695</v>
      </c>
      <c r="E41" s="6">
        <v>2003</v>
      </c>
      <c r="F41" s="258">
        <v>2639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4" t="s">
        <v>31</v>
      </c>
      <c r="B42" s="10">
        <v>13257</v>
      </c>
      <c r="C42" s="6">
        <v>14412</v>
      </c>
      <c r="D42" s="6">
        <v>16539</v>
      </c>
      <c r="E42" s="6">
        <v>15575</v>
      </c>
      <c r="F42" s="258">
        <v>17495</v>
      </c>
      <c r="G42" s="237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4" t="s">
        <v>32</v>
      </c>
      <c r="B43" s="10">
        <v>4998</v>
      </c>
      <c r="C43" s="6">
        <v>5093</v>
      </c>
      <c r="D43" s="6">
        <v>4852</v>
      </c>
      <c r="E43" s="6">
        <v>4061</v>
      </c>
      <c r="F43" s="258">
        <v>6573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">
      <c r="A44" s="4" t="s">
        <v>33</v>
      </c>
      <c r="B44" s="10">
        <v>1016</v>
      </c>
      <c r="C44" s="6">
        <v>1004</v>
      </c>
      <c r="D44" s="6">
        <v>783</v>
      </c>
      <c r="E44" s="6">
        <v>1195</v>
      </c>
      <c r="F44" s="6">
        <v>1200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">
      <c r="A45" s="4" t="s">
        <v>34</v>
      </c>
      <c r="B45" s="10">
        <v>19271</v>
      </c>
      <c r="C45" s="5">
        <v>20509</v>
      </c>
      <c r="D45" s="6">
        <v>22174</v>
      </c>
      <c r="E45" s="6">
        <v>20831</v>
      </c>
      <c r="F45" s="6">
        <v>25268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4" t="s">
        <v>107</v>
      </c>
      <c r="B46" s="16">
        <f>SUM(B33:B41,B43:B44)</f>
        <v>19271</v>
      </c>
      <c r="C46" s="16">
        <f>SUM(C33:C41,C43:C44)</f>
        <v>20509</v>
      </c>
      <c r="D46" s="16">
        <f>SUM(D33:D41,D43:D44)</f>
        <v>22174</v>
      </c>
      <c r="E46" s="16">
        <f>SUM(E33:E41,E43:E44)</f>
        <v>20831</v>
      </c>
      <c r="F46" s="16">
        <f>SUM(F33:F41,F43:F44)</f>
        <v>25268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14" t="s">
        <v>105</v>
      </c>
      <c r="B47" s="15" t="b">
        <f>B46=B45</f>
        <v>1</v>
      </c>
      <c r="C47" s="15" t="b">
        <f t="shared" ref="C47" si="6">C46=C45</f>
        <v>1</v>
      </c>
      <c r="D47" s="15" t="b">
        <f t="shared" ref="D47" si="7">D46=D45</f>
        <v>1</v>
      </c>
      <c r="E47" s="15" t="b">
        <f t="shared" ref="E47" si="8">E46=E45</f>
        <v>1</v>
      </c>
      <c r="F47" s="15" t="b">
        <f>F45=F46</f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3" t="s">
        <v>35</v>
      </c>
      <c r="B48" s="8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5" x14ac:dyDescent="0.2">
      <c r="A49" s="4" t="s">
        <v>36</v>
      </c>
      <c r="B49" s="8">
        <v>0</v>
      </c>
      <c r="C49" s="5">
        <v>0</v>
      </c>
      <c r="D49" s="5">
        <v>0</v>
      </c>
      <c r="E49" s="5">
        <v>0</v>
      </c>
      <c r="F49" s="5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5" x14ac:dyDescent="0.2">
      <c r="A50" s="4" t="s">
        <v>37</v>
      </c>
      <c r="B50" s="8">
        <v>2</v>
      </c>
      <c r="C50" s="6">
        <v>2</v>
      </c>
      <c r="D50" s="6">
        <v>2</v>
      </c>
      <c r="E50" s="6">
        <v>2</v>
      </c>
      <c r="F50" s="6">
        <v>4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4" t="s">
        <v>38</v>
      </c>
      <c r="B51" s="10">
        <v>4670</v>
      </c>
      <c r="C51" s="6">
        <v>4919</v>
      </c>
      <c r="D51" s="6">
        <v>5218</v>
      </c>
      <c r="E51" s="6">
        <v>5490</v>
      </c>
      <c r="F51" s="6">
        <v>5800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4" t="s">
        <v>39</v>
      </c>
      <c r="B52" s="8">
        <v>-122</v>
      </c>
      <c r="C52" s="6">
        <v>-76</v>
      </c>
      <c r="D52" s="6">
        <v>-1121</v>
      </c>
      <c r="E52" s="6">
        <v>-1099</v>
      </c>
      <c r="F52" s="6">
        <v>-1014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4" t="s">
        <v>40</v>
      </c>
      <c r="B53" s="10">
        <v>6283</v>
      </c>
      <c r="C53" s="6">
        <v>7458</v>
      </c>
      <c r="D53" s="6">
        <v>6518</v>
      </c>
      <c r="E53" s="6">
        <v>7686</v>
      </c>
      <c r="F53" s="6">
        <v>5988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4" t="s">
        <v>41</v>
      </c>
      <c r="B54" s="10">
        <v>10833</v>
      </c>
      <c r="C54" s="6">
        <v>12303</v>
      </c>
      <c r="D54" s="6">
        <v>10617</v>
      </c>
      <c r="E54" s="6">
        <v>12079</v>
      </c>
      <c r="F54" s="6">
        <v>10778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4" t="s">
        <v>42</v>
      </c>
      <c r="B55" s="8">
        <v>179</v>
      </c>
      <c r="C55" s="6">
        <v>212</v>
      </c>
      <c r="D55" s="6">
        <v>226</v>
      </c>
      <c r="E55" s="6">
        <v>253</v>
      </c>
      <c r="F55" s="6">
        <v>301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4" t="s">
        <v>43</v>
      </c>
      <c r="B56" s="10">
        <v>11012</v>
      </c>
      <c r="C56" s="6">
        <v>12515</v>
      </c>
      <c r="D56" s="6">
        <v>10843</v>
      </c>
      <c r="E56" s="6">
        <v>12332</v>
      </c>
      <c r="F56" s="6">
        <v>11079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4" t="s">
        <v>108</v>
      </c>
      <c r="B57" s="10">
        <f>SUM(B51,B52,B53,B55,B50)</f>
        <v>11012</v>
      </c>
      <c r="C57" s="10">
        <f t="shared" ref="C57:E57" si="9">SUM(C51,C52,C53,C55,C50)</f>
        <v>12515</v>
      </c>
      <c r="D57" s="10">
        <f t="shared" si="9"/>
        <v>10843</v>
      </c>
      <c r="E57" s="10">
        <f t="shared" si="9"/>
        <v>12332</v>
      </c>
      <c r="F57" s="10">
        <f>SUM(F51,F52,F53,F55,F50)</f>
        <v>11079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4" t="s">
        <v>105</v>
      </c>
      <c r="B58" s="15" t="b">
        <f>B57=B56</f>
        <v>1</v>
      </c>
      <c r="C58" s="15" t="b">
        <f t="shared" ref="C58" si="10">C57=C56</f>
        <v>1</v>
      </c>
      <c r="D58" s="15" t="b">
        <f t="shared" ref="D58" si="11">D57=D56</f>
        <v>1</v>
      </c>
      <c r="E58" s="15" t="b">
        <f t="shared" ref="E58" si="12">E57=E56</f>
        <v>1</v>
      </c>
      <c r="F58" s="15" t="b">
        <f t="shared" ref="F58" si="13">F57=F56</f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4" t="s">
        <v>44</v>
      </c>
      <c r="B59" s="9">
        <v>30283</v>
      </c>
      <c r="C59" s="5">
        <v>33024</v>
      </c>
      <c r="D59" s="5">
        <v>33017</v>
      </c>
      <c r="E59" s="5">
        <v>33163</v>
      </c>
      <c r="F59" s="6">
        <v>36347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x14ac:dyDescent="0.2">
      <c r="A60" s="4" t="s">
        <v>109</v>
      </c>
      <c r="B60" s="17">
        <f>SUM(B57,B46)</f>
        <v>30283</v>
      </c>
      <c r="C60" s="17">
        <f t="shared" ref="C60:E60" si="14">SUM(C57,C46)</f>
        <v>33024</v>
      </c>
      <c r="D60" s="17">
        <f t="shared" si="14"/>
        <v>33017</v>
      </c>
      <c r="E60" s="17">
        <f t="shared" si="14"/>
        <v>33163</v>
      </c>
      <c r="F60" s="17">
        <f>SUM(F57,F46)</f>
        <v>36347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4" t="s">
        <v>105</v>
      </c>
      <c r="B61" s="15" t="b">
        <f>B60=B59</f>
        <v>1</v>
      </c>
      <c r="C61" s="15" t="b">
        <f t="shared" ref="C61" si="15">C60=C59</f>
        <v>1</v>
      </c>
      <c r="D61" s="15" t="b">
        <f t="shared" ref="D61" si="16">D60=D59</f>
        <v>1</v>
      </c>
      <c r="E61" s="15" t="b">
        <f t="shared" ref="E61:F61" si="17">E60=E59</f>
        <v>1</v>
      </c>
      <c r="F61" s="15" t="b">
        <f t="shared" si="17"/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workbookViewId="0">
      <selection activeCell="D26" sqref="D26"/>
    </sheetView>
  </sheetViews>
  <sheetFormatPr baseColWidth="10" defaultColWidth="8.83203125" defaultRowHeight="15" x14ac:dyDescent="0.2"/>
  <cols>
    <col min="1" max="1" width="57.33203125" customWidth="1"/>
    <col min="2" max="7" width="10.5" bestFit="1" customWidth="1"/>
  </cols>
  <sheetData>
    <row r="1" spans="1:16" x14ac:dyDescent="0.2">
      <c r="A1" s="1" t="s">
        <v>3</v>
      </c>
    </row>
    <row r="2" spans="1:16" x14ac:dyDescent="0.2">
      <c r="A2" s="1" t="s">
        <v>2</v>
      </c>
    </row>
    <row r="3" spans="1:16" x14ac:dyDescent="0.2">
      <c r="A3" s="1" t="s">
        <v>45</v>
      </c>
    </row>
    <row r="4" spans="1:16" x14ac:dyDescent="0.2">
      <c r="A4" s="1" t="s">
        <v>116</v>
      </c>
    </row>
    <row r="5" spans="1:16" x14ac:dyDescent="0.2">
      <c r="A5" s="1" t="s">
        <v>1</v>
      </c>
    </row>
    <row r="9" spans="1:16" x14ac:dyDescent="0.2">
      <c r="A9" t="s">
        <v>46</v>
      </c>
      <c r="B9" s="2">
        <v>41518</v>
      </c>
      <c r="C9" s="2">
        <v>41882</v>
      </c>
      <c r="D9" s="2">
        <v>42246</v>
      </c>
      <c r="E9" s="2">
        <v>42610</v>
      </c>
      <c r="F9" s="2">
        <v>42981</v>
      </c>
      <c r="G9" s="1" t="s">
        <v>73</v>
      </c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3" t="s">
        <v>47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4" t="s">
        <v>48</v>
      </c>
      <c r="B12" s="5">
        <v>102870</v>
      </c>
      <c r="C12" s="5">
        <v>110212</v>
      </c>
      <c r="D12" s="5">
        <v>113666</v>
      </c>
      <c r="E12" s="5">
        <v>116073</v>
      </c>
      <c r="F12" s="257">
        <v>126172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4" t="s">
        <v>49</v>
      </c>
      <c r="B13" s="6">
        <v>2286</v>
      </c>
      <c r="C13" s="6">
        <v>2428</v>
      </c>
      <c r="D13" s="6">
        <v>2533</v>
      </c>
      <c r="E13" s="6">
        <v>2646</v>
      </c>
      <c r="F13" s="258">
        <v>2853</v>
      </c>
      <c r="G13" s="1" t="s">
        <v>238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4" t="s">
        <v>50</v>
      </c>
      <c r="B14" s="6">
        <v>105156</v>
      </c>
      <c r="C14" s="6">
        <v>112640</v>
      </c>
      <c r="D14" s="6">
        <v>116199</v>
      </c>
      <c r="E14" s="6">
        <v>118719</v>
      </c>
      <c r="F14" s="6">
        <v>129025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4" t="s">
        <v>110</v>
      </c>
      <c r="B15" s="6">
        <f>SUM(B12:B13)</f>
        <v>105156</v>
      </c>
      <c r="C15" s="6">
        <f t="shared" ref="C15:E15" si="0">SUM(C12:C13)</f>
        <v>112640</v>
      </c>
      <c r="D15" s="6">
        <f t="shared" si="0"/>
        <v>116199</v>
      </c>
      <c r="E15" s="6">
        <f t="shared" si="0"/>
        <v>118719</v>
      </c>
      <c r="F15" s="6">
        <f>SUM(F12:F13)</f>
        <v>129025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4" t="s">
        <v>111</v>
      </c>
      <c r="B16" s="18" t="b">
        <f>B15=B14</f>
        <v>1</v>
      </c>
      <c r="C16" s="18" t="b">
        <f t="shared" ref="C16:F16" si="1">C15=C14</f>
        <v>1</v>
      </c>
      <c r="D16" s="18" t="b">
        <f t="shared" si="1"/>
        <v>1</v>
      </c>
      <c r="E16" s="18" t="b">
        <f t="shared" si="1"/>
        <v>1</v>
      </c>
      <c r="F16" s="18" t="b">
        <f t="shared" si="1"/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3" t="s">
        <v>51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4" t="s">
        <v>52</v>
      </c>
      <c r="B18" s="6">
        <v>91948</v>
      </c>
      <c r="C18" s="6">
        <v>98458</v>
      </c>
      <c r="D18" s="6">
        <v>101065</v>
      </c>
      <c r="E18" s="6">
        <v>102901</v>
      </c>
      <c r="F18" s="258">
        <v>111882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4" t="s">
        <v>53</v>
      </c>
      <c r="B19" s="6">
        <v>10104</v>
      </c>
      <c r="C19" s="6">
        <v>10899</v>
      </c>
      <c r="D19" s="6">
        <v>11445</v>
      </c>
      <c r="E19" s="6">
        <v>12068</v>
      </c>
      <c r="F19" s="258">
        <v>12950</v>
      </c>
      <c r="G19" s="1" t="s">
        <v>239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4" t="s">
        <v>54</v>
      </c>
      <c r="B20" s="6">
        <v>51</v>
      </c>
      <c r="C20" s="6">
        <v>63</v>
      </c>
      <c r="D20" s="6">
        <v>65</v>
      </c>
      <c r="E20" s="6">
        <v>78</v>
      </c>
      <c r="F20" s="6">
        <v>82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4" t="s">
        <v>55</v>
      </c>
      <c r="B21" s="6">
        <v>3053</v>
      </c>
      <c r="C21" s="6">
        <v>3220</v>
      </c>
      <c r="D21" s="6">
        <v>3624</v>
      </c>
      <c r="E21" s="6">
        <v>3672</v>
      </c>
      <c r="F21" s="6">
        <v>4111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4" t="s">
        <v>112</v>
      </c>
      <c r="B22" s="6">
        <f>B15-B18-B19-B20</f>
        <v>3053</v>
      </c>
      <c r="C22" s="6">
        <f t="shared" ref="C22:E22" si="2">C15-C18-C19-C20</f>
        <v>3220</v>
      </c>
      <c r="D22" s="6">
        <f t="shared" si="2"/>
        <v>3624</v>
      </c>
      <c r="E22" s="6">
        <f t="shared" si="2"/>
        <v>3672</v>
      </c>
      <c r="F22" s="6">
        <f>F15-F18-F19-F20</f>
        <v>4111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4" t="s">
        <v>111</v>
      </c>
      <c r="B23" s="18" t="b">
        <f>B22=B21</f>
        <v>1</v>
      </c>
      <c r="C23" s="18" t="b">
        <f t="shared" ref="C23" si="3">C22=C21</f>
        <v>1</v>
      </c>
      <c r="D23" s="18" t="b">
        <f t="shared" ref="D23" si="4">D22=D21</f>
        <v>1</v>
      </c>
      <c r="E23" s="18" t="b">
        <f t="shared" ref="E23" si="5">E22=E21</f>
        <v>1</v>
      </c>
      <c r="F23" s="18" t="b">
        <f t="shared" ref="F23" si="6">F22=F21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3" t="s">
        <v>56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4" t="s">
        <v>57</v>
      </c>
      <c r="B25" s="6">
        <v>99</v>
      </c>
      <c r="C25" s="6">
        <v>113</v>
      </c>
      <c r="D25" s="6">
        <v>124</v>
      </c>
      <c r="E25" s="6">
        <v>133</v>
      </c>
      <c r="F25" s="6">
        <v>134</v>
      </c>
      <c r="G25" s="1" t="s">
        <v>240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4" t="s">
        <v>58</v>
      </c>
      <c r="B26" s="6">
        <v>-97</v>
      </c>
      <c r="C26" s="6">
        <v>-90</v>
      </c>
      <c r="D26" s="6">
        <v>-104</v>
      </c>
      <c r="E26" s="6">
        <v>-80</v>
      </c>
      <c r="F26" s="258">
        <v>-62</v>
      </c>
      <c r="G26" s="1" t="s">
        <v>241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4" t="s">
        <v>59</v>
      </c>
      <c r="B27" s="6">
        <v>3051</v>
      </c>
      <c r="C27" s="6">
        <v>3197</v>
      </c>
      <c r="D27" s="6">
        <v>3604</v>
      </c>
      <c r="E27" s="6">
        <v>3619</v>
      </c>
      <c r="F27" s="6">
        <v>4039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4" t="s">
        <v>60</v>
      </c>
      <c r="B28" s="6">
        <v>990</v>
      </c>
      <c r="C28" s="6">
        <v>1109</v>
      </c>
      <c r="D28" s="6">
        <v>1195</v>
      </c>
      <c r="E28" s="6">
        <v>1243</v>
      </c>
      <c r="F28" s="6">
        <v>1325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4" t="s">
        <v>61</v>
      </c>
      <c r="B29" s="6">
        <v>2061</v>
      </c>
      <c r="C29" s="6">
        <v>2088</v>
      </c>
      <c r="D29" s="6">
        <v>2409</v>
      </c>
      <c r="E29" s="6">
        <v>2376</v>
      </c>
      <c r="F29" s="6">
        <v>2714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4" t="s">
        <v>62</v>
      </c>
      <c r="B30" s="6">
        <v>22</v>
      </c>
      <c r="C30" s="6">
        <v>30</v>
      </c>
      <c r="D30" s="6">
        <v>32</v>
      </c>
      <c r="E30" s="6">
        <v>26</v>
      </c>
      <c r="F30" s="6">
        <v>35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4" t="s">
        <v>63</v>
      </c>
      <c r="B31" s="5">
        <v>2039</v>
      </c>
      <c r="C31" s="5">
        <v>2058</v>
      </c>
      <c r="D31" s="5">
        <v>2377</v>
      </c>
      <c r="E31" s="5">
        <v>2350</v>
      </c>
      <c r="F31" s="5">
        <v>2679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4" t="s">
        <v>113</v>
      </c>
      <c r="B32" s="5">
        <f>B22-B25-B26-B28-B30</f>
        <v>2039</v>
      </c>
      <c r="C32" s="5">
        <f t="shared" ref="C32:E32" si="7">C22-C25-C26-C28-C30</f>
        <v>2058</v>
      </c>
      <c r="D32" s="5">
        <f t="shared" si="7"/>
        <v>2377</v>
      </c>
      <c r="E32" s="5">
        <f t="shared" si="7"/>
        <v>2350</v>
      </c>
      <c r="F32" s="5">
        <f>F22-F25-F26-F28-F30</f>
        <v>2679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">
      <c r="A33" s="14" t="s">
        <v>111</v>
      </c>
      <c r="B33" s="18" t="b">
        <f>B32=B31</f>
        <v>1</v>
      </c>
      <c r="C33" s="18" t="b">
        <f t="shared" ref="C33" si="8">C32=C31</f>
        <v>1</v>
      </c>
      <c r="D33" s="18" t="b">
        <f t="shared" ref="D33" si="9">D32=D31</f>
        <v>1</v>
      </c>
      <c r="E33" s="18" t="b">
        <f t="shared" ref="E33" si="10">E32=E31</f>
        <v>1</v>
      </c>
      <c r="F33" s="18" t="b">
        <f t="shared" ref="F33" si="11">F32=F31</f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3" t="s">
        <v>64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4" t="s">
        <v>65</v>
      </c>
      <c r="B35" s="7">
        <v>4.68</v>
      </c>
      <c r="C35" s="7">
        <v>4.6900000000000004</v>
      </c>
      <c r="D35" s="7">
        <v>5.41</v>
      </c>
      <c r="E35" s="7">
        <v>5.36</v>
      </c>
      <c r="F35" s="7">
        <v>6.11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4" t="s">
        <v>66</v>
      </c>
      <c r="B36" s="7">
        <v>4.63</v>
      </c>
      <c r="C36" s="7">
        <v>4.6500000000000004</v>
      </c>
      <c r="D36" s="7">
        <v>5.37</v>
      </c>
      <c r="E36" s="7">
        <v>5.33</v>
      </c>
      <c r="F36" s="7">
        <v>6.08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3" t="s">
        <v>67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4" t="s">
        <v>68</v>
      </c>
      <c r="B38" s="6">
        <v>435741</v>
      </c>
      <c r="C38" s="6">
        <v>438693</v>
      </c>
      <c r="D38" s="6">
        <v>439455</v>
      </c>
      <c r="E38" s="6">
        <v>438585</v>
      </c>
      <c r="F38" s="6">
        <v>438437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A39" s="4" t="s">
        <v>69</v>
      </c>
      <c r="B39" s="6">
        <v>440512</v>
      </c>
      <c r="C39" s="6">
        <v>442485</v>
      </c>
      <c r="D39" s="6">
        <v>442716</v>
      </c>
      <c r="E39" s="6">
        <v>441263</v>
      </c>
      <c r="F39" s="6">
        <v>440937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4" t="s">
        <v>70</v>
      </c>
      <c r="B40" s="7">
        <v>8.17</v>
      </c>
      <c r="C40" s="7">
        <v>1.33</v>
      </c>
      <c r="D40" s="7">
        <v>6.51</v>
      </c>
      <c r="E40" s="7">
        <v>1.7</v>
      </c>
      <c r="F40" s="7">
        <v>8.9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G42" s="237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19" t="s">
        <v>114</v>
      </c>
      <c r="B43" s="20">
        <v>946</v>
      </c>
      <c r="C43" s="20">
        <v>1029</v>
      </c>
      <c r="D43" s="20">
        <v>1127</v>
      </c>
      <c r="E43" s="20">
        <v>1255</v>
      </c>
      <c r="F43" s="20">
        <v>1370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1" workbookViewId="0">
      <selection activeCell="A25" sqref="A25:N38"/>
    </sheetView>
  </sheetViews>
  <sheetFormatPr baseColWidth="10" defaultColWidth="8.83203125" defaultRowHeight="15" x14ac:dyDescent="0.2"/>
  <cols>
    <col min="1" max="1" width="29.5" bestFit="1" customWidth="1"/>
    <col min="2" max="3" width="12.1640625" bestFit="1" customWidth="1"/>
    <col min="4" max="5" width="12.83203125" bestFit="1" customWidth="1"/>
    <col min="6" max="6" width="12.83203125" customWidth="1"/>
    <col min="7" max="7" width="8.83203125" bestFit="1" customWidth="1"/>
  </cols>
  <sheetData>
    <row r="1" spans="1:10" x14ac:dyDescent="0.2">
      <c r="A1" s="1" t="s">
        <v>3</v>
      </c>
    </row>
    <row r="2" spans="1:10" x14ac:dyDescent="0.2">
      <c r="A2" s="1" t="s">
        <v>2</v>
      </c>
    </row>
    <row r="3" spans="1:10" x14ac:dyDescent="0.2">
      <c r="A3" s="1" t="s">
        <v>74</v>
      </c>
    </row>
    <row r="4" spans="1:10" x14ac:dyDescent="0.2">
      <c r="A4" s="1" t="s">
        <v>117</v>
      </c>
    </row>
    <row r="5" spans="1:10" x14ac:dyDescent="0.2">
      <c r="A5" s="1" t="s">
        <v>1</v>
      </c>
    </row>
    <row r="9" spans="1:10" ht="16" thickBot="1" x14ac:dyDescent="0.25">
      <c r="A9" s="11" t="s">
        <v>75</v>
      </c>
    </row>
    <row r="10" spans="1:10" ht="16" thickBot="1" x14ac:dyDescent="0.25">
      <c r="A10" s="26" t="s">
        <v>76</v>
      </c>
      <c r="B10" s="23">
        <v>2013</v>
      </c>
      <c r="C10" s="23">
        <v>2014</v>
      </c>
      <c r="D10" s="23">
        <v>2015</v>
      </c>
      <c r="E10" s="23">
        <v>2016</v>
      </c>
      <c r="F10" s="23">
        <v>2017</v>
      </c>
      <c r="G10" s="60" t="s">
        <v>84</v>
      </c>
      <c r="H10" s="59" t="s">
        <v>85</v>
      </c>
      <c r="I10" s="58" t="s">
        <v>86</v>
      </c>
      <c r="J10" s="57" t="s">
        <v>87</v>
      </c>
    </row>
    <row r="11" spans="1:10" x14ac:dyDescent="0.2">
      <c r="A11" s="27" t="s">
        <v>77</v>
      </c>
      <c r="B11" s="13"/>
      <c r="C11" s="13"/>
      <c r="D11" s="13"/>
      <c r="E11" s="13"/>
      <c r="F11" s="13"/>
      <c r="G11" s="48"/>
      <c r="H11" s="51"/>
      <c r="I11" s="54"/>
      <c r="J11" s="45"/>
    </row>
    <row r="12" spans="1:10" x14ac:dyDescent="0.2">
      <c r="A12" s="61" t="s">
        <v>78</v>
      </c>
      <c r="B12" s="62">
        <v>75493</v>
      </c>
      <c r="C12" s="62">
        <v>80477</v>
      </c>
      <c r="D12" s="62">
        <v>84351</v>
      </c>
      <c r="E12" s="62">
        <v>86579</v>
      </c>
      <c r="F12" s="62">
        <v>93889</v>
      </c>
      <c r="G12" s="64"/>
      <c r="H12" s="65"/>
      <c r="I12" s="66">
        <f>(E12/B12)^(1/4)-1</f>
        <v>3.4847775203821652E-2</v>
      </c>
      <c r="J12" s="67"/>
    </row>
    <row r="13" spans="1:10" x14ac:dyDescent="0.2">
      <c r="A13" s="31" t="s">
        <v>79</v>
      </c>
      <c r="B13" s="33"/>
      <c r="C13" s="33">
        <f>C12/B12-1</f>
        <v>6.6019366033936988E-2</v>
      </c>
      <c r="D13" s="33">
        <f t="shared" ref="D13:F13" si="0">D12/C12-1</f>
        <v>4.8137977310287461E-2</v>
      </c>
      <c r="E13" s="33">
        <f t="shared" si="0"/>
        <v>2.64134390819315E-2</v>
      </c>
      <c r="F13" s="33">
        <f t="shared" si="0"/>
        <v>8.4431559616073182E-2</v>
      </c>
      <c r="G13" s="49">
        <f>AVERAGE(B13:F13)</f>
        <v>5.6250585510557283E-2</v>
      </c>
      <c r="H13" s="52">
        <f>STDEV(B13:E13)</f>
        <v>1.9834015703874136E-2</v>
      </c>
      <c r="I13" s="55"/>
      <c r="J13" s="46">
        <f>G13</f>
        <v>5.6250585510557283E-2</v>
      </c>
    </row>
    <row r="14" spans="1:10" x14ac:dyDescent="0.2">
      <c r="A14" s="31" t="s">
        <v>80</v>
      </c>
      <c r="B14" s="33">
        <f>B12/B$21</f>
        <v>0.71791433679485717</v>
      </c>
      <c r="C14" s="33">
        <f t="shared" ref="C14:E14" si="1">C12/C$21</f>
        <v>0.71446200284090911</v>
      </c>
      <c r="D14" s="33">
        <f t="shared" si="1"/>
        <v>0.72591846745669064</v>
      </c>
      <c r="E14" s="33">
        <f t="shared" si="1"/>
        <v>0.72927669538995443</v>
      </c>
      <c r="F14" s="33">
        <f t="shared" ref="F14" si="2">F12/F$21</f>
        <v>0.72768068203836467</v>
      </c>
      <c r="G14" s="49"/>
      <c r="H14" s="52"/>
      <c r="I14" s="55"/>
      <c r="J14" s="46"/>
    </row>
    <row r="15" spans="1:10" x14ac:dyDescent="0.2">
      <c r="A15" s="61" t="s">
        <v>81</v>
      </c>
      <c r="B15" s="62">
        <v>17179</v>
      </c>
      <c r="C15" s="62">
        <v>17943</v>
      </c>
      <c r="D15" s="62">
        <v>17341</v>
      </c>
      <c r="E15" s="62">
        <v>17028</v>
      </c>
      <c r="F15" s="62">
        <v>18775</v>
      </c>
      <c r="G15" s="64"/>
      <c r="H15" s="65"/>
      <c r="I15" s="66">
        <f>(E15/B15)^(1/4)-1</f>
        <v>-2.2047309221834288E-3</v>
      </c>
      <c r="J15" s="67"/>
    </row>
    <row r="16" spans="1:10" x14ac:dyDescent="0.2">
      <c r="A16" s="31" t="s">
        <v>79</v>
      </c>
      <c r="B16" s="33"/>
      <c r="C16" s="33">
        <f>C15/B15-1</f>
        <v>4.4472902962919836E-2</v>
      </c>
      <c r="D16" s="33">
        <f t="shared" ref="D16" si="3">D15/C15-1</f>
        <v>-3.3550688290698294E-2</v>
      </c>
      <c r="E16" s="33">
        <f t="shared" ref="E16:F16" si="4">E15/D15-1</f>
        <v>-1.8049708782653773E-2</v>
      </c>
      <c r="F16" s="33">
        <f t="shared" si="4"/>
        <v>0.10259572468874789</v>
      </c>
      <c r="G16" s="49">
        <f>AVERAGE(B16:F16)</f>
        <v>2.3867057644578915E-2</v>
      </c>
      <c r="H16" s="52">
        <f>STDEV(B16:E16)</f>
        <v>4.1305847320745104E-2</v>
      </c>
      <c r="I16" s="55"/>
      <c r="J16" s="46">
        <f>G16</f>
        <v>2.3867057644578915E-2</v>
      </c>
    </row>
    <row r="17" spans="1:14" x14ac:dyDescent="0.2">
      <c r="A17" s="31" t="s">
        <v>80</v>
      </c>
      <c r="B17" s="33">
        <f>B15/B$21</f>
        <v>0.16336680740994333</v>
      </c>
      <c r="C17" s="33">
        <f t="shared" ref="C17:E17" si="5">C15/C$21</f>
        <v>0.15929509943181819</v>
      </c>
      <c r="D17" s="33">
        <f t="shared" si="5"/>
        <v>0.14923536347128633</v>
      </c>
      <c r="E17" s="33">
        <f t="shared" si="5"/>
        <v>0.14343112728375407</v>
      </c>
      <c r="F17" s="33">
        <f t="shared" ref="F17" si="6">F15/F$21</f>
        <v>0.14551443518697926</v>
      </c>
      <c r="G17" s="49"/>
      <c r="H17" s="52"/>
      <c r="I17" s="55"/>
      <c r="J17" s="46"/>
    </row>
    <row r="18" spans="1:14" x14ac:dyDescent="0.2">
      <c r="A18" s="61" t="s">
        <v>82</v>
      </c>
      <c r="B18" s="62">
        <v>12484</v>
      </c>
      <c r="C18" s="62">
        <v>14220</v>
      </c>
      <c r="D18" s="62">
        <v>14507</v>
      </c>
      <c r="E18" s="62">
        <v>15112</v>
      </c>
      <c r="F18" s="62">
        <v>16361</v>
      </c>
      <c r="G18" s="64"/>
      <c r="H18" s="65"/>
      <c r="I18" s="66">
        <f>(E18/B18)^(1/4)-1</f>
        <v>4.8919226998070942E-2</v>
      </c>
      <c r="J18" s="67"/>
    </row>
    <row r="19" spans="1:14" x14ac:dyDescent="0.2">
      <c r="A19" s="29" t="s">
        <v>79</v>
      </c>
      <c r="B19" s="33"/>
      <c r="C19" s="33">
        <f>C18/B18-1</f>
        <v>0.13905799423261778</v>
      </c>
      <c r="D19" s="33">
        <f t="shared" ref="D19" si="7">D18/C18-1</f>
        <v>2.0182841068917101E-2</v>
      </c>
      <c r="E19" s="33">
        <f t="shared" ref="E19:F19" si="8">E18/D18-1</f>
        <v>4.1704004963121211E-2</v>
      </c>
      <c r="F19" s="33">
        <f t="shared" si="8"/>
        <v>8.264955002646901E-2</v>
      </c>
      <c r="G19" s="49">
        <f>AVERAGE(B19:F19)</f>
        <v>7.0898597572781275E-2</v>
      </c>
      <c r="H19" s="52">
        <f>STDEV(B19:E19)</f>
        <v>6.3340694872701109E-2</v>
      </c>
      <c r="I19" s="55"/>
      <c r="J19" s="46">
        <f>G19</f>
        <v>7.0898597572781275E-2</v>
      </c>
    </row>
    <row r="20" spans="1:14" x14ac:dyDescent="0.2">
      <c r="A20" s="31" t="s">
        <v>80</v>
      </c>
      <c r="B20" s="33">
        <f>B18/B$21</f>
        <v>0.11871885579519952</v>
      </c>
      <c r="C20" s="33">
        <f t="shared" ref="C20:E20" si="9">C18/C$21</f>
        <v>0.12624289772727273</v>
      </c>
      <c r="D20" s="33">
        <f t="shared" si="9"/>
        <v>0.12484616907202299</v>
      </c>
      <c r="E20" s="33">
        <f t="shared" si="9"/>
        <v>0.1272921773262915</v>
      </c>
      <c r="F20" s="33">
        <f t="shared" ref="F20" si="10">F18/F$21</f>
        <v>0.12680488277465607</v>
      </c>
      <c r="G20" s="49"/>
      <c r="H20" s="52"/>
      <c r="I20" s="55"/>
      <c r="J20" s="46"/>
    </row>
    <row r="21" spans="1:14" x14ac:dyDescent="0.2">
      <c r="A21" s="61" t="s">
        <v>83</v>
      </c>
      <c r="B21" s="62">
        <f>SUM(B18,B15,B12)</f>
        <v>105156</v>
      </c>
      <c r="C21" s="62">
        <f>SUM(C18,C15,C12)</f>
        <v>112640</v>
      </c>
      <c r="D21" s="62">
        <v>116199</v>
      </c>
      <c r="E21" s="62">
        <v>118719</v>
      </c>
      <c r="F21" s="62">
        <v>129025</v>
      </c>
      <c r="G21" s="64"/>
      <c r="H21" s="65"/>
      <c r="I21" s="66">
        <f>(E21/B21)^(1/4)-1</f>
        <v>3.0793195494416947E-2</v>
      </c>
      <c r="J21" s="67"/>
    </row>
    <row r="22" spans="1:14" ht="16" thickBot="1" x14ac:dyDescent="0.25">
      <c r="A22" s="28" t="s">
        <v>79</v>
      </c>
      <c r="B22" s="41"/>
      <c r="C22" s="41">
        <f>C21/B21-1</f>
        <v>7.117045151964696E-2</v>
      </c>
      <c r="D22" s="41">
        <f t="shared" ref="D22" si="11">D21/C21-1</f>
        <v>3.1596235795454453E-2</v>
      </c>
      <c r="E22" s="41">
        <f t="shared" ref="E22:F22" si="12">E21/D21-1</f>
        <v>2.1686933622492521E-2</v>
      </c>
      <c r="F22" s="41">
        <f t="shared" si="12"/>
        <v>8.6810030407937999E-2</v>
      </c>
      <c r="G22" s="50">
        <f>AVERAGE(B22:F22)</f>
        <v>5.2815912836382983E-2</v>
      </c>
      <c r="H22" s="53">
        <f>STDEV(B22:E22)</f>
        <v>2.6181836462256285E-2</v>
      </c>
      <c r="I22" s="56"/>
      <c r="J22" s="47">
        <f>G22</f>
        <v>5.2815912836382983E-2</v>
      </c>
    </row>
    <row r="25" spans="1:14" ht="16" thickBot="1" x14ac:dyDescent="0.25">
      <c r="A25" s="274" t="s">
        <v>88</v>
      </c>
      <c r="B25" s="274"/>
      <c r="C25" s="274" t="s">
        <v>101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4"/>
    </row>
    <row r="26" spans="1:14" ht="16" thickBot="1" x14ac:dyDescent="0.25">
      <c r="A26" s="22" t="s">
        <v>89</v>
      </c>
      <c r="B26" s="23">
        <v>2017</v>
      </c>
      <c r="C26" s="23" t="s">
        <v>91</v>
      </c>
      <c r="D26" s="23" t="s">
        <v>92</v>
      </c>
      <c r="E26" s="23"/>
      <c r="F26" s="23" t="s">
        <v>93</v>
      </c>
      <c r="G26" s="23" t="s">
        <v>94</v>
      </c>
      <c r="H26" s="23" t="s">
        <v>95</v>
      </c>
      <c r="I26" s="23" t="s">
        <v>96</v>
      </c>
      <c r="J26" s="23" t="s">
        <v>97</v>
      </c>
      <c r="K26" s="23" t="s">
        <v>98</v>
      </c>
      <c r="L26" s="23" t="s">
        <v>99</v>
      </c>
      <c r="M26" s="23" t="s">
        <v>100</v>
      </c>
      <c r="N26" s="139" t="s">
        <v>115</v>
      </c>
    </row>
    <row r="27" spans="1:14" x14ac:dyDescent="0.2">
      <c r="A27" s="24" t="s">
        <v>90</v>
      </c>
      <c r="B27" s="13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25"/>
      <c r="N27" s="21"/>
    </row>
    <row r="28" spans="1:14" x14ac:dyDescent="0.2">
      <c r="A28" s="61" t="s">
        <v>78</v>
      </c>
      <c r="B28" s="62">
        <v>93889</v>
      </c>
      <c r="C28" s="69">
        <f>B28*(1+C29)</f>
        <v>99170.31122300071</v>
      </c>
      <c r="D28" s="62">
        <f t="shared" ref="D28:M28" si="13">C28*(1+D29)</f>
        <v>104748.6992945587</v>
      </c>
      <c r="E28" s="62">
        <f t="shared" si="13"/>
        <v>110640.87496134693</v>
      </c>
      <c r="F28" s="62"/>
      <c r="G28" s="62">
        <f>E28*(1+G29)</f>
        <v>116864.48895932305</v>
      </c>
      <c r="H28" s="62">
        <f t="shared" si="13"/>
        <v>123438.18488867703</v>
      </c>
      <c r="I28" s="62">
        <f t="shared" si="13"/>
        <v>130381.65506302554</v>
      </c>
      <c r="J28" s="62">
        <f t="shared" si="13"/>
        <v>137715.69950015625</v>
      </c>
      <c r="K28" s="62">
        <f t="shared" si="13"/>
        <v>145462.28823103599</v>
      </c>
      <c r="L28" s="62">
        <f t="shared" si="13"/>
        <v>153644.6271137372</v>
      </c>
      <c r="M28" s="63">
        <f t="shared" si="13"/>
        <v>162287.22734943614</v>
      </c>
      <c r="N28" s="232"/>
    </row>
    <row r="29" spans="1:14" x14ac:dyDescent="0.2">
      <c r="A29" s="31" t="s">
        <v>79</v>
      </c>
      <c r="B29" s="33"/>
      <c r="C29" s="32">
        <f>J13</f>
        <v>5.6250585510557283E-2</v>
      </c>
      <c r="D29" s="33">
        <f>C29</f>
        <v>5.6250585510557283E-2</v>
      </c>
      <c r="E29" s="33">
        <f t="shared" ref="E29:M29" si="14">D29</f>
        <v>5.6250585510557283E-2</v>
      </c>
      <c r="F29" s="33"/>
      <c r="G29" s="33">
        <f>E29</f>
        <v>5.6250585510557283E-2</v>
      </c>
      <c r="H29" s="33">
        <f t="shared" si="14"/>
        <v>5.6250585510557283E-2</v>
      </c>
      <c r="I29" s="33">
        <f t="shared" si="14"/>
        <v>5.6250585510557283E-2</v>
      </c>
      <c r="J29" s="33">
        <f t="shared" si="14"/>
        <v>5.6250585510557283E-2</v>
      </c>
      <c r="K29" s="33">
        <f t="shared" si="14"/>
        <v>5.6250585510557283E-2</v>
      </c>
      <c r="L29" s="33">
        <f t="shared" si="14"/>
        <v>5.6250585510557283E-2</v>
      </c>
      <c r="M29" s="34">
        <f t="shared" si="14"/>
        <v>5.6250585510557283E-2</v>
      </c>
      <c r="N29" s="233">
        <f>(M28/B28)^(1/10)-1</f>
        <v>5.6250585510557283E-2</v>
      </c>
    </row>
    <row r="30" spans="1:14" x14ac:dyDescent="0.2">
      <c r="A30" s="31" t="s">
        <v>80</v>
      </c>
      <c r="B30" s="33">
        <f>B28/B37</f>
        <v>0.72768068203836467</v>
      </c>
      <c r="C30" s="32">
        <f>C28/C37</f>
        <v>0.72965278567524905</v>
      </c>
      <c r="D30" s="33">
        <f t="shared" ref="D30:M30" si="15">D28/D37</f>
        <v>0.73151707091814988</v>
      </c>
      <c r="E30" s="33">
        <f t="shared" si="15"/>
        <v>0.73327464976422729</v>
      </c>
      <c r="F30" s="33"/>
      <c r="G30" s="33">
        <f t="shared" si="15"/>
        <v>0.73492667629751418</v>
      </c>
      <c r="H30" s="33">
        <f t="shared" si="15"/>
        <v>0.73647434308750825</v>
      </c>
      <c r="I30" s="33">
        <f t="shared" si="15"/>
        <v>0.7379188776910135</v>
      </c>
      <c r="J30" s="33">
        <f t="shared" si="15"/>
        <v>0.73926153926243432</v>
      </c>
      <c r="K30" s="33">
        <f t="shared" si="15"/>
        <v>0.74050361527692188</v>
      </c>
      <c r="L30" s="33">
        <f t="shared" si="15"/>
        <v>0.74164641836999379</v>
      </c>
      <c r="M30" s="34">
        <f t="shared" si="15"/>
        <v>0.74269128329651779</v>
      </c>
      <c r="N30" s="233"/>
    </row>
    <row r="31" spans="1:14" x14ac:dyDescent="0.2">
      <c r="A31" s="38" t="s">
        <v>81</v>
      </c>
      <c r="B31" s="39">
        <v>18775</v>
      </c>
      <c r="C31" s="44">
        <f>B31*(1+C32)</f>
        <v>19223.104007276972</v>
      </c>
      <c r="D31" s="39">
        <f t="shared" ref="D31:M31" si="16">C31*(1+D32)</f>
        <v>19681.902938726387</v>
      </c>
      <c r="E31" s="39">
        <f t="shared" si="16"/>
        <v>20151.652050719978</v>
      </c>
      <c r="F31" s="39"/>
      <c r="G31" s="39">
        <f>E31*(1+G32)</f>
        <v>20632.612691848011</v>
      </c>
      <c r="H31" s="39">
        <f t="shared" si="16"/>
        <v>21125.052448322618</v>
      </c>
      <c r="I31" s="39">
        <f t="shared" si="16"/>
        <v>21629.245292851487</v>
      </c>
      <c r="J31" s="39">
        <f t="shared" si="16"/>
        <v>22145.471737064712</v>
      </c>
      <c r="K31" s="39">
        <f t="shared" si="16"/>
        <v>22674.018987579631</v>
      </c>
      <c r="L31" s="39">
        <f t="shared" si="16"/>
        <v>23215.181105790474</v>
      </c>
      <c r="M31" s="40">
        <f t="shared" si="16"/>
        <v>23769.259171471716</v>
      </c>
      <c r="N31" s="233"/>
    </row>
    <row r="32" spans="1:14" x14ac:dyDescent="0.2">
      <c r="A32" s="31" t="s">
        <v>79</v>
      </c>
      <c r="B32" s="33"/>
      <c r="C32" s="32">
        <f>J16</f>
        <v>2.3867057644578915E-2</v>
      </c>
      <c r="D32" s="33">
        <f>C32</f>
        <v>2.3867057644578915E-2</v>
      </c>
      <c r="E32" s="33">
        <f t="shared" ref="E32:M32" si="17">D32</f>
        <v>2.3867057644578915E-2</v>
      </c>
      <c r="F32" s="33"/>
      <c r="G32" s="33">
        <f>E32</f>
        <v>2.3867057644578915E-2</v>
      </c>
      <c r="H32" s="33">
        <f t="shared" si="17"/>
        <v>2.3867057644578915E-2</v>
      </c>
      <c r="I32" s="33">
        <f t="shared" si="17"/>
        <v>2.3867057644578915E-2</v>
      </c>
      <c r="J32" s="33">
        <f t="shared" si="17"/>
        <v>2.3867057644578915E-2</v>
      </c>
      <c r="K32" s="33">
        <f t="shared" si="17"/>
        <v>2.3867057644578915E-2</v>
      </c>
      <c r="L32" s="33">
        <f t="shared" si="17"/>
        <v>2.3867057644578915E-2</v>
      </c>
      <c r="M32" s="34">
        <f t="shared" si="17"/>
        <v>2.3867057644578915E-2</v>
      </c>
      <c r="N32" s="233">
        <f>(M31/B31)^(1/10)-1</f>
        <v>2.3867057644578971E-2</v>
      </c>
    </row>
    <row r="33" spans="1:14" x14ac:dyDescent="0.2">
      <c r="A33" s="31" t="s">
        <v>80</v>
      </c>
      <c r="B33" s="33">
        <f>B31/B37</f>
        <v>0.14551443518697926</v>
      </c>
      <c r="C33" s="32">
        <f>C31/C37</f>
        <v>0.14143538741846332</v>
      </c>
      <c r="D33" s="33">
        <f t="shared" ref="D33:M33" si="18">D31/D37</f>
        <v>0.13744942022951073</v>
      </c>
      <c r="E33" s="33">
        <f t="shared" si="18"/>
        <v>0.13355548394591596</v>
      </c>
      <c r="F33" s="33"/>
      <c r="G33" s="33">
        <f t="shared" si="18"/>
        <v>0.12975248173319529</v>
      </c>
      <c r="H33" s="33">
        <f t="shared" si="18"/>
        <v>0.12603927333019863</v>
      </c>
      <c r="I33" s="33">
        <f t="shared" si="18"/>
        <v>0.12241467869148735</v>
      </c>
      <c r="J33" s="33">
        <f t="shared" si="18"/>
        <v>0.11887748153228252</v>
      </c>
      <c r="K33" s="33">
        <f t="shared" si="18"/>
        <v>0.11542643277062044</v>
      </c>
      <c r="L33" s="33">
        <f t="shared" si="18"/>
        <v>0.11206025386214669</v>
      </c>
      <c r="M33" s="34">
        <f t="shared" si="18"/>
        <v>0.10877764002374023</v>
      </c>
      <c r="N33" s="233"/>
    </row>
    <row r="34" spans="1:14" x14ac:dyDescent="0.2">
      <c r="A34" s="38" t="s">
        <v>82</v>
      </c>
      <c r="B34" s="39">
        <v>16361</v>
      </c>
      <c r="C34" s="44">
        <f>B34*(1+C35)</f>
        <v>17520.971954888271</v>
      </c>
      <c r="D34" s="39">
        <f t="shared" ref="D34:M34" si="19">C34*(1+D35)</f>
        <v>18763.184294601881</v>
      </c>
      <c r="E34" s="39">
        <f t="shared" si="19"/>
        <v>20093.467747088787</v>
      </c>
      <c r="F34" s="39"/>
      <c r="G34" s="39">
        <f>E34*(1+G35)</f>
        <v>21518.066430731295</v>
      </c>
      <c r="H34" s="39">
        <f t="shared" si="19"/>
        <v>23043.667163148086</v>
      </c>
      <c r="I34" s="39">
        <f t="shared" si="19"/>
        <v>24677.430847949232</v>
      </c>
      <c r="J34" s="39">
        <f t="shared" si="19"/>
        <v>26427.026086768121</v>
      </c>
      <c r="K34" s="39">
        <f t="shared" si="19"/>
        <v>28300.665174339283</v>
      </c>
      <c r="L34" s="39">
        <f t="shared" si="19"/>
        <v>30307.142645576787</v>
      </c>
      <c r="M34" s="40">
        <f t="shared" si="19"/>
        <v>32455.876555586408</v>
      </c>
      <c r="N34" s="233"/>
    </row>
    <row r="35" spans="1:14" x14ac:dyDescent="0.2">
      <c r="A35" s="29" t="s">
        <v>79</v>
      </c>
      <c r="B35" s="33"/>
      <c r="C35" s="32">
        <f>J19</f>
        <v>7.0898597572781275E-2</v>
      </c>
      <c r="D35" s="33">
        <f>C35</f>
        <v>7.0898597572781275E-2</v>
      </c>
      <c r="E35" s="33">
        <f t="shared" ref="E35:M35" si="20">D35</f>
        <v>7.0898597572781275E-2</v>
      </c>
      <c r="F35" s="33"/>
      <c r="G35" s="33">
        <f>E35</f>
        <v>7.0898597572781275E-2</v>
      </c>
      <c r="H35" s="33">
        <f t="shared" si="20"/>
        <v>7.0898597572781275E-2</v>
      </c>
      <c r="I35" s="33">
        <f t="shared" si="20"/>
        <v>7.0898597572781275E-2</v>
      </c>
      <c r="J35" s="33">
        <f t="shared" si="20"/>
        <v>7.0898597572781275E-2</v>
      </c>
      <c r="K35" s="33">
        <f t="shared" si="20"/>
        <v>7.0898597572781275E-2</v>
      </c>
      <c r="L35" s="33">
        <f t="shared" si="20"/>
        <v>7.0898597572781275E-2</v>
      </c>
      <c r="M35" s="34">
        <f t="shared" si="20"/>
        <v>7.0898597572781275E-2</v>
      </c>
      <c r="N35" s="233">
        <f>(M34/B34)^(1/10)-1</f>
        <v>7.0898597572781163E-2</v>
      </c>
    </row>
    <row r="36" spans="1:14" x14ac:dyDescent="0.2">
      <c r="A36" s="31" t="s">
        <v>80</v>
      </c>
      <c r="B36" s="33">
        <f>B34/B37</f>
        <v>0.12680488277465607</v>
      </c>
      <c r="C36" s="32">
        <f>C34/C37</f>
        <v>0.12891182690628764</v>
      </c>
      <c r="D36" s="33">
        <f t="shared" ref="D36:M36" si="21">D34/D37</f>
        <v>0.13103350885233944</v>
      </c>
      <c r="E36" s="33">
        <f t="shared" si="21"/>
        <v>0.13316986628985672</v>
      </c>
      <c r="F36" s="33"/>
      <c r="G36" s="33">
        <f t="shared" si="21"/>
        <v>0.13532084196929062</v>
      </c>
      <c r="H36" s="33">
        <f t="shared" si="21"/>
        <v>0.13748638358229315</v>
      </c>
      <c r="I36" s="33">
        <f t="shared" si="21"/>
        <v>0.13966644361749925</v>
      </c>
      <c r="J36" s="33">
        <f t="shared" si="21"/>
        <v>0.14186097920528329</v>
      </c>
      <c r="K36" s="33">
        <f t="shared" si="21"/>
        <v>0.14406995195245775</v>
      </c>
      <c r="L36" s="33">
        <f t="shared" si="21"/>
        <v>0.14629332776785958</v>
      </c>
      <c r="M36" s="34">
        <f t="shared" si="21"/>
        <v>0.14853107667974208</v>
      </c>
      <c r="N36" s="233"/>
    </row>
    <row r="37" spans="1:14" x14ac:dyDescent="0.2">
      <c r="A37" s="61" t="s">
        <v>83</v>
      </c>
      <c r="B37" s="62">
        <f>SUM(B34,B31,B28)</f>
        <v>129025</v>
      </c>
      <c r="C37" s="69">
        <f>SUM(C34,C31,C28)</f>
        <v>135914.38718516595</v>
      </c>
      <c r="D37" s="62">
        <f t="shared" ref="D37:M37" si="22">SUM(D34,D31,D28)</f>
        <v>143193.78652788696</v>
      </c>
      <c r="E37" s="62">
        <f t="shared" si="22"/>
        <v>150885.9947591557</v>
      </c>
      <c r="F37" s="62"/>
      <c r="G37" s="62">
        <f t="shared" si="22"/>
        <v>159015.16808190235</v>
      </c>
      <c r="H37" s="62">
        <f t="shared" si="22"/>
        <v>167606.90450014774</v>
      </c>
      <c r="I37" s="62">
        <f t="shared" si="22"/>
        <v>176688.33120382624</v>
      </c>
      <c r="J37" s="62">
        <f t="shared" si="22"/>
        <v>186288.19732398906</v>
      </c>
      <c r="K37" s="62">
        <f t="shared" si="22"/>
        <v>196436.97239295489</v>
      </c>
      <c r="L37" s="62">
        <f t="shared" si="22"/>
        <v>207166.95086510445</v>
      </c>
      <c r="M37" s="63">
        <f t="shared" si="22"/>
        <v>218512.36307649425</v>
      </c>
      <c r="N37" s="232">
        <f>(M37/B37)^(1/10)-1</f>
        <v>5.4096119622166983E-2</v>
      </c>
    </row>
    <row r="38" spans="1:14" ht="16" thickBot="1" x14ac:dyDescent="0.25">
      <c r="A38" s="28" t="s">
        <v>79</v>
      </c>
      <c r="B38" s="41"/>
      <c r="C38" s="35">
        <f>C37/B37-1</f>
        <v>5.3395754196209566E-2</v>
      </c>
      <c r="D38" s="41">
        <f t="shared" ref="D38:M38" si="23">D37/C37-1</f>
        <v>5.355871069634266E-2</v>
      </c>
      <c r="E38" s="41">
        <f t="shared" si="23"/>
        <v>5.3718868798616981E-2</v>
      </c>
      <c r="F38" s="41"/>
      <c r="G38" s="41">
        <f>G37/E37-1</f>
        <v>5.3876261582278984E-2</v>
      </c>
      <c r="H38" s="41">
        <f t="shared" si="23"/>
        <v>5.4030923728107139E-2</v>
      </c>
      <c r="I38" s="41">
        <f t="shared" si="23"/>
        <v>5.418289139556598E-2</v>
      </c>
      <c r="J38" s="41">
        <f t="shared" si="23"/>
        <v>5.4332202102743921E-2</v>
      </c>
      <c r="K38" s="41">
        <f t="shared" si="23"/>
        <v>5.4478894609277129E-2</v>
      </c>
      <c r="L38" s="41">
        <f t="shared" si="23"/>
        <v>5.4623008802463069E-2</v>
      </c>
      <c r="M38" s="42">
        <f t="shared" si="23"/>
        <v>5.4764585586710268E-2</v>
      </c>
      <c r="N38" s="234"/>
    </row>
  </sheetData>
  <mergeCells count="2">
    <mergeCell ref="A25:B25"/>
    <mergeCell ref="C25:M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0" zoomScale="82" zoomScaleNormal="70" zoomScalePageLayoutView="70" workbookViewId="0">
      <selection activeCell="B53" sqref="B53"/>
    </sheetView>
  </sheetViews>
  <sheetFormatPr baseColWidth="10" defaultColWidth="8.83203125" defaultRowHeight="15" x14ac:dyDescent="0.2"/>
  <cols>
    <col min="1" max="1" width="80.5" bestFit="1" customWidth="1"/>
    <col min="2" max="2" width="23.5" bestFit="1" customWidth="1"/>
    <col min="3" max="3" width="24" bestFit="1" customWidth="1"/>
    <col min="4" max="4" width="14.1640625" bestFit="1" customWidth="1"/>
    <col min="5" max="5" width="13.5" bestFit="1" customWidth="1"/>
    <col min="6" max="6" width="13.5" customWidth="1"/>
    <col min="7" max="9" width="11.1640625" bestFit="1" customWidth="1"/>
    <col min="12" max="12" width="19.5" bestFit="1" customWidth="1"/>
  </cols>
  <sheetData>
    <row r="1" spans="1:10" x14ac:dyDescent="0.2">
      <c r="A1" s="1" t="s">
        <v>3</v>
      </c>
    </row>
    <row r="2" spans="1:10" x14ac:dyDescent="0.2">
      <c r="A2" s="1" t="s">
        <v>2</v>
      </c>
    </row>
    <row r="3" spans="1:10" x14ac:dyDescent="0.2">
      <c r="A3" s="1" t="s">
        <v>249</v>
      </c>
    </row>
    <row r="4" spans="1:10" x14ac:dyDescent="0.2">
      <c r="A4" s="1" t="s">
        <v>117</v>
      </c>
    </row>
    <row r="5" spans="1:10" x14ac:dyDescent="0.2">
      <c r="A5" s="1" t="s">
        <v>1</v>
      </c>
    </row>
    <row r="10" spans="1:10" ht="16" thickBot="1" x14ac:dyDescent="0.25">
      <c r="A10" s="74" t="s">
        <v>102</v>
      </c>
      <c r="B10" s="73"/>
      <c r="C10" s="73"/>
      <c r="D10" s="73"/>
      <c r="E10" s="73"/>
      <c r="F10" s="73"/>
      <c r="G10" s="73"/>
      <c r="H10" s="73"/>
      <c r="I10" s="73"/>
    </row>
    <row r="11" spans="1:10" x14ac:dyDescent="0.2">
      <c r="A11" s="100" t="s">
        <v>5</v>
      </c>
      <c r="B11" s="101">
        <v>41518</v>
      </c>
      <c r="C11" s="101">
        <v>41882</v>
      </c>
      <c r="D11" s="101">
        <v>42246</v>
      </c>
      <c r="E11" s="101">
        <v>42610</v>
      </c>
      <c r="F11" s="101">
        <v>42981</v>
      </c>
      <c r="G11" s="57" t="s">
        <v>84</v>
      </c>
      <c r="H11" s="245" t="s">
        <v>148</v>
      </c>
      <c r="I11" s="58" t="s">
        <v>149</v>
      </c>
      <c r="J11" t="s">
        <v>73</v>
      </c>
    </row>
    <row r="12" spans="1:10" x14ac:dyDescent="0.2">
      <c r="A12" s="11" t="s">
        <v>118</v>
      </c>
      <c r="B12" s="70">
        <f>B66</f>
        <v>105156</v>
      </c>
      <c r="C12" s="70">
        <f t="shared" ref="C12:E12" si="0">C66</f>
        <v>112640</v>
      </c>
      <c r="D12" s="70">
        <f t="shared" si="0"/>
        <v>116199</v>
      </c>
      <c r="E12" s="70">
        <f t="shared" si="0"/>
        <v>118719</v>
      </c>
      <c r="F12" s="70">
        <f t="shared" ref="F12" si="1">F66</f>
        <v>129025</v>
      </c>
      <c r="G12" s="45"/>
      <c r="H12" s="246"/>
      <c r="I12" s="54"/>
    </row>
    <row r="13" spans="1:10" x14ac:dyDescent="0.2">
      <c r="A13" s="71" t="s">
        <v>103</v>
      </c>
      <c r="B13" s="71"/>
      <c r="C13" s="72">
        <f>C12/B12-1</f>
        <v>7.117045151964696E-2</v>
      </c>
      <c r="D13" s="72">
        <f t="shared" ref="D13:F13" si="2">D12/C12-1</f>
        <v>3.1596235795454453E-2</v>
      </c>
      <c r="E13" s="72">
        <f t="shared" si="2"/>
        <v>2.1686933622492521E-2</v>
      </c>
      <c r="F13" s="72">
        <f t="shared" si="2"/>
        <v>8.6810030407937999E-2</v>
      </c>
      <c r="G13" s="103">
        <f>AVERAGE(B13:F13)</f>
        <v>5.2815912836382983E-2</v>
      </c>
      <c r="H13" s="247">
        <f>_xlfn.STDEV.S(B13:E13)</f>
        <v>2.6181836462256285E-2</v>
      </c>
      <c r="I13" s="104"/>
    </row>
    <row r="14" spans="1:10" x14ac:dyDescent="0.2">
      <c r="G14" s="45"/>
      <c r="H14" s="246"/>
      <c r="I14" s="54"/>
    </row>
    <row r="15" spans="1:10" x14ac:dyDescent="0.2">
      <c r="A15" s="11" t="s">
        <v>119</v>
      </c>
      <c r="G15" s="45"/>
      <c r="H15" s="246"/>
      <c r="I15" s="54"/>
    </row>
    <row r="16" spans="1:10" x14ac:dyDescent="0.2">
      <c r="A16" s="98" t="str">
        <f>A70 &amp; ", Net D&amp;A"</f>
        <v>Merchandise costs, Net D&amp;A</v>
      </c>
      <c r="B16" s="99">
        <f>(B70-B95)/B12</f>
        <v>0.86539997717676598</v>
      </c>
      <c r="C16" s="99">
        <f>(C70-C95)/C12</f>
        <v>0.86495916193181821</v>
      </c>
      <c r="D16" s="99">
        <f>(D70-D95)/D12</f>
        <v>0.86005903665263905</v>
      </c>
      <c r="E16" s="99">
        <f>(E70-E95)/E12</f>
        <v>0.85618982639678565</v>
      </c>
      <c r="F16" s="99">
        <f>(F70-F95)/F12</f>
        <v>0.85651617903507071</v>
      </c>
      <c r="G16" s="67">
        <f>AVERAGE(B16:F16)</f>
        <v>0.86062483623861596</v>
      </c>
      <c r="H16" s="241">
        <f>_xlfn.STDEV.S(B16:E16)</f>
        <v>4.3725479093434808E-3</v>
      </c>
      <c r="I16" s="105"/>
    </row>
    <row r="17" spans="1:12" x14ac:dyDescent="0.2">
      <c r="A17" s="30" t="str">
        <f t="shared" ref="A17:A18" si="3">A71</f>
        <v>Selling, general and administrative</v>
      </c>
      <c r="B17" s="33">
        <f>B71/B12</f>
        <v>9.6085815360036519E-2</v>
      </c>
      <c r="C17" s="33">
        <f>C71/C12</f>
        <v>9.6759588068181815E-2</v>
      </c>
      <c r="D17" s="33">
        <f>D71/D12</f>
        <v>9.8494823535486539E-2</v>
      </c>
      <c r="E17" s="33">
        <f>E71/E12</f>
        <v>0.10165179962769229</v>
      </c>
      <c r="F17" s="33">
        <f>F71/F12</f>
        <v>0.10036814570819609</v>
      </c>
      <c r="G17" s="46">
        <f>AVERAGE(B17:F17)</f>
        <v>9.8672034459918651E-2</v>
      </c>
      <c r="H17" s="242">
        <f>_xlfn.STDEV.S(B17:E17)</f>
        <v>2.4857719296725654E-3</v>
      </c>
      <c r="I17" s="54"/>
    </row>
    <row r="18" spans="1:12" x14ac:dyDescent="0.2">
      <c r="A18" s="96" t="str">
        <f t="shared" si="3"/>
        <v>Preopening expenses</v>
      </c>
      <c r="B18" s="97">
        <f>B72/B12</f>
        <v>4.8499372361063563E-4</v>
      </c>
      <c r="C18" s="97">
        <f>C72/C12</f>
        <v>5.593039772727273E-4</v>
      </c>
      <c r="D18" s="97">
        <f>D72/D12</f>
        <v>5.5938519264365442E-4</v>
      </c>
      <c r="E18" s="97">
        <f>E72/E12</f>
        <v>6.5701362039774589E-4</v>
      </c>
      <c r="F18" s="97">
        <f>F72/F12</f>
        <v>6.3553574888587487E-4</v>
      </c>
      <c r="G18" s="68">
        <f>AVERAGE(B18:F18)</f>
        <v>5.7924645256212759E-4</v>
      </c>
      <c r="H18" s="243">
        <f>_xlfn.STDEV.S(B18:E18)</f>
        <v>7.05487067068761E-5</v>
      </c>
      <c r="I18" s="102"/>
    </row>
    <row r="19" spans="1:12" x14ac:dyDescent="0.2">
      <c r="G19" s="45"/>
      <c r="H19" s="246"/>
      <c r="I19" s="54"/>
    </row>
    <row r="20" spans="1:12" x14ac:dyDescent="0.2">
      <c r="A20" s="71" t="s">
        <v>121</v>
      </c>
      <c r="B20" s="72">
        <f>1-SUM(B16:B18)</f>
        <v>3.8029213739586787E-2</v>
      </c>
      <c r="C20" s="72">
        <f t="shared" ref="C20:F20" si="4">1-SUM(C16:C18)</f>
        <v>3.772194602272716E-2</v>
      </c>
      <c r="D20" s="72">
        <f t="shared" si="4"/>
        <v>4.0886754619230747E-2</v>
      </c>
      <c r="E20" s="72">
        <f t="shared" si="4"/>
        <v>4.1501360355124306E-2</v>
      </c>
      <c r="F20" s="72">
        <f t="shared" si="4"/>
        <v>4.2480139507847348E-2</v>
      </c>
      <c r="G20" s="46">
        <f>AVERAGE(B20:F20)</f>
        <v>4.0123882848903267E-2</v>
      </c>
      <c r="H20" s="242">
        <f>_xlfn.STDEV.S(B20:E20)</f>
        <v>1.9363514188518397E-3</v>
      </c>
      <c r="I20" s="54"/>
    </row>
    <row r="21" spans="1:12" x14ac:dyDescent="0.2">
      <c r="G21" s="45"/>
      <c r="H21" s="246"/>
      <c r="I21" s="54"/>
    </row>
    <row r="22" spans="1:12" x14ac:dyDescent="0.2">
      <c r="A22" s="11" t="s">
        <v>120</v>
      </c>
      <c r="G22" s="45"/>
      <c r="H22" s="246"/>
      <c r="I22" s="54"/>
    </row>
    <row r="23" spans="1:12" x14ac:dyDescent="0.2">
      <c r="A23" s="98" t="str">
        <f>A77&amp; " as % of Total Debt"</f>
        <v>Interest expense as % of Total Debt</v>
      </c>
      <c r="B23" s="99">
        <f>B77/(B125+B134)</f>
        <v>1.9807923169267706E-2</v>
      </c>
      <c r="C23" s="99">
        <f t="shared" ref="C23:D23" si="5">C77/(C125+C134)</f>
        <v>2.2187315923817005E-2</v>
      </c>
      <c r="D23" s="99">
        <f t="shared" si="5"/>
        <v>2.0211898940505298E-2</v>
      </c>
      <c r="E23" s="99">
        <f>E77/(E125+E134)</f>
        <v>2.5770199573726022E-2</v>
      </c>
      <c r="F23" s="99">
        <f t="shared" ref="F23" si="6">F77/(F125+F134)</f>
        <v>2.0123141612854781E-2</v>
      </c>
      <c r="G23" s="67">
        <f t="shared" ref="G23:G29" si="7">AVERAGE(B23:F23)</f>
        <v>2.1620095844034161E-2</v>
      </c>
      <c r="H23" s="241">
        <f t="shared" ref="H23:H29" si="8">_xlfn.STDEV.S(B23:E23)</f>
        <v>2.7234702076473546E-3</v>
      </c>
      <c r="I23" s="104"/>
    </row>
    <row r="24" spans="1:12" ht="16" thickBot="1" x14ac:dyDescent="0.25">
      <c r="A24" s="30" t="str">
        <f>A78 &amp; " as % of Rev"</f>
        <v>Interest income and other, net as % of Rev</v>
      </c>
      <c r="B24" s="33">
        <f>B78/B12</f>
        <v>-9.2243904294571875E-4</v>
      </c>
      <c r="C24" s="33">
        <f>C78/C12</f>
        <v>-7.9900568181818187E-4</v>
      </c>
      <c r="D24" s="33">
        <f>D78/D12</f>
        <v>-8.9501630822984703E-4</v>
      </c>
      <c r="E24" s="33">
        <f>E78/E12</f>
        <v>-6.738601234848676E-4</v>
      </c>
      <c r="F24" s="33">
        <f>F78/F12</f>
        <v>-4.8052702964541754E-4</v>
      </c>
      <c r="G24" s="47">
        <f t="shared" si="7"/>
        <v>-7.5416963722480662E-4</v>
      </c>
      <c r="H24" s="242">
        <f t="shared" si="8"/>
        <v>1.1238653145296337E-4</v>
      </c>
      <c r="I24" s="244"/>
    </row>
    <row r="25" spans="1:12" x14ac:dyDescent="0.2">
      <c r="A25" s="106" t="str">
        <f>A95 &amp; " as % of Rev"</f>
        <v>Depreciation &amp; Amortization as % of Rev</v>
      </c>
      <c r="B25" s="107">
        <f>B95/B12</f>
        <v>8.9961580889345357E-3</v>
      </c>
      <c r="C25" s="107">
        <f>C95/C12</f>
        <v>9.1352982954545463E-3</v>
      </c>
      <c r="D25" s="107">
        <f>D95/D12</f>
        <v>9.6988786478368998E-3</v>
      </c>
      <c r="E25" s="107">
        <f>E95/E12</f>
        <v>1.0571180687168861E-2</v>
      </c>
      <c r="F25" s="107">
        <f>F95/F12</f>
        <v>1.0618097267971324E-2</v>
      </c>
      <c r="G25" s="239">
        <f t="shared" si="7"/>
        <v>9.8039225974732337E-3</v>
      </c>
      <c r="H25" s="248">
        <f t="shared" si="8"/>
        <v>7.1496877963147371E-4</v>
      </c>
      <c r="I25" s="102"/>
    </row>
    <row r="26" spans="1:12" x14ac:dyDescent="0.2">
      <c r="A26" s="109" t="s">
        <v>122</v>
      </c>
      <c r="B26" s="72">
        <f>1-SUM(B16:B18)-B23*(B125+B134)/B12-B24-B25</f>
        <v>2.901403628894203E-2</v>
      </c>
      <c r="C26" s="72">
        <f>1-SUM(C16:C18)-C23*(C125+C134)/C12-C24-C25</f>
        <v>2.8382457386363521E-2</v>
      </c>
      <c r="D26" s="72">
        <f>1-SUM(D16:D18)-D23*(D125+D134)/D12-D24-D25</f>
        <v>3.1015757450580422E-2</v>
      </c>
      <c r="E26" s="72">
        <f>1-SUM(E16:E18)-E23*(E125+E134)/E12-E24-E25</f>
        <v>3.048374733614672E-2</v>
      </c>
      <c r="F26" s="72">
        <f>1-SUM(F16:F18)-F23*(F125+F134)/F12-F24-F25</f>
        <v>3.1304010850610381E-2</v>
      </c>
      <c r="G26" s="103">
        <f t="shared" si="7"/>
        <v>3.0040001862528615E-2</v>
      </c>
      <c r="H26" s="247">
        <f t="shared" si="8"/>
        <v>1.231481273525678E-3</v>
      </c>
      <c r="I26" s="104"/>
    </row>
    <row r="27" spans="1:12" ht="16" thickBot="1" x14ac:dyDescent="0.25">
      <c r="A27" s="108" t="s">
        <v>123</v>
      </c>
      <c r="B27" s="41">
        <f>B79/B12</f>
        <v>2.9014036288942145E-2</v>
      </c>
      <c r="C27" s="41">
        <f>C79/C12</f>
        <v>2.8382457386363635E-2</v>
      </c>
      <c r="D27" s="41">
        <f>D79/D12</f>
        <v>3.101575745058047E-2</v>
      </c>
      <c r="E27" s="41">
        <f>E79/E12</f>
        <v>3.0483747336146699E-2</v>
      </c>
      <c r="F27" s="41">
        <f>F79/F12</f>
        <v>3.1304010850610346E-2</v>
      </c>
      <c r="G27" s="240">
        <f t="shared" si="7"/>
        <v>3.004000186252866E-2</v>
      </c>
      <c r="H27" s="249">
        <f t="shared" si="8"/>
        <v>1.2314812735256273E-3</v>
      </c>
      <c r="I27" s="244"/>
    </row>
    <row r="28" spans="1:12" x14ac:dyDescent="0.2">
      <c r="A28" s="30" t="str">
        <f>A80 &amp; " (as % of EBT)"</f>
        <v>Provision for income taxes (as % of EBT)</v>
      </c>
      <c r="B28" s="33">
        <f>B80/(B27*B12)</f>
        <v>0.32448377581120946</v>
      </c>
      <c r="C28" s="33">
        <f>C80/(C27*C12)</f>
        <v>0.34688770722552392</v>
      </c>
      <c r="D28" s="33">
        <f>D80/(D27*D12)</f>
        <v>0.33157602663706992</v>
      </c>
      <c r="E28" s="33">
        <f>E80/(E27*E12)</f>
        <v>0.34346504559270519</v>
      </c>
      <c r="F28" s="33">
        <f>F80/(F27*F12)</f>
        <v>0.32805149789551868</v>
      </c>
      <c r="G28" s="239">
        <f t="shared" si="7"/>
        <v>0.3348928106324055</v>
      </c>
      <c r="H28" s="242">
        <f t="shared" si="8"/>
        <v>1.0408472966511508E-2</v>
      </c>
      <c r="I28" s="102"/>
    </row>
    <row r="29" spans="1:12" ht="16" thickBot="1" x14ac:dyDescent="0.25">
      <c r="A29" s="71" t="str">
        <f>A82 &amp; " as % of Rev"</f>
        <v>Net income attributable to noncontrolling interests as % of Rev</v>
      </c>
      <c r="B29" s="72">
        <f>B82/B12</f>
        <v>2.0921297881243105E-4</v>
      </c>
      <c r="C29" s="72">
        <f>C82/C12</f>
        <v>2.6633522727272725E-4</v>
      </c>
      <c r="D29" s="72">
        <f>D82/D12</f>
        <v>2.753896333014914E-4</v>
      </c>
      <c r="E29" s="72">
        <f>E82/E12</f>
        <v>2.1900454013258199E-4</v>
      </c>
      <c r="F29" s="72">
        <f>F82/F12</f>
        <v>2.7126525867080025E-4</v>
      </c>
      <c r="G29" s="103">
        <f t="shared" si="7"/>
        <v>2.4824152763800638E-4</v>
      </c>
      <c r="H29" s="247">
        <f t="shared" si="8"/>
        <v>3.3215998262595775E-5</v>
      </c>
      <c r="I29" s="244"/>
    </row>
    <row r="31" spans="1:12" ht="16" thickBot="1" x14ac:dyDescent="0.25">
      <c r="A31" t="s">
        <v>124</v>
      </c>
      <c r="K31" s="254"/>
    </row>
    <row r="32" spans="1:12" x14ac:dyDescent="0.2">
      <c r="A32" s="98" t="s">
        <v>125</v>
      </c>
      <c r="B32" s="99"/>
      <c r="C32" s="99">
        <f t="shared" ref="C32:E32" si="9">C51/C12</f>
        <v>-4.4477982954545456E-3</v>
      </c>
      <c r="D32" s="99">
        <f t="shared" si="9"/>
        <v>-1.720324615530254E-2</v>
      </c>
      <c r="E32" s="99">
        <f t="shared" si="9"/>
        <v>6.9491825234376976E-3</v>
      </c>
      <c r="F32" s="99">
        <f t="shared" ref="F32" si="10">F51/F12</f>
        <v>-7.6574307304785897E-3</v>
      </c>
      <c r="G32" s="250">
        <f>AVERAGE(C32:E32)</f>
        <v>-4.9006206424397963E-3</v>
      </c>
      <c r="H32" s="251">
        <f>_xlfn.STDEV.S(C32:E32)</f>
        <v>1.2082579974031019E-2</v>
      </c>
      <c r="L32" s="259"/>
    </row>
    <row r="33" spans="1:11" ht="16" thickBot="1" x14ac:dyDescent="0.25">
      <c r="A33" s="96" t="s">
        <v>126</v>
      </c>
      <c r="B33" s="97"/>
      <c r="C33" s="97">
        <f t="shared" ref="C33:E33" si="11">C55/C12</f>
        <v>2.3810369318181819E-2</v>
      </c>
      <c r="D33" s="97">
        <f t="shared" si="11"/>
        <v>1.8210139502061119E-2</v>
      </c>
      <c r="E33" s="97">
        <f t="shared" si="11"/>
        <v>3.165457930070166E-2</v>
      </c>
      <c r="F33" s="97">
        <f>F55/F12</f>
        <v>2.7467545049409028E-2</v>
      </c>
      <c r="G33" s="252">
        <f>AVERAGE(C33:E33)</f>
        <v>2.4558362706981533E-2</v>
      </c>
      <c r="H33" s="42">
        <f>_xlfn.STDEV.S(C33:E33)</f>
        <v>6.7533592350091627E-3</v>
      </c>
    </row>
    <row r="34" spans="1:11" ht="16" thickBot="1" x14ac:dyDescent="0.25"/>
    <row r="35" spans="1:11" ht="16" thickBot="1" x14ac:dyDescent="0.25">
      <c r="A35" s="73" t="s">
        <v>127</v>
      </c>
      <c r="B35" s="73"/>
      <c r="C35" s="73"/>
      <c r="D35" s="73"/>
      <c r="E35" s="73"/>
      <c r="F35" s="73"/>
      <c r="G35" s="116" t="s">
        <v>151</v>
      </c>
      <c r="H35" s="117" t="s">
        <v>152</v>
      </c>
      <c r="I35" s="117" t="s">
        <v>153</v>
      </c>
      <c r="J35" s="118" t="s">
        <v>149</v>
      </c>
    </row>
    <row r="36" spans="1:11" x14ac:dyDescent="0.2">
      <c r="A36" s="90" t="s">
        <v>128</v>
      </c>
      <c r="B36" s="91">
        <f>B37*B12/B57</f>
        <v>0.10753652233531923</v>
      </c>
      <c r="C36" s="91">
        <f t="shared" ref="C36:E36" si="12">C37*C12/C57</f>
        <v>0.10232188137025738</v>
      </c>
      <c r="D36" s="91">
        <f t="shared" si="12"/>
        <v>0.1244307176883209</v>
      </c>
      <c r="E36" s="91">
        <f t="shared" si="12"/>
        <v>0.10476572600419075</v>
      </c>
      <c r="F36" s="91">
        <f t="shared" ref="F36" si="13">F37*F12/F57</f>
        <v>0.11343523732904282</v>
      </c>
      <c r="G36" s="119">
        <f>MIN(B36:E36)</f>
        <v>0.10232188137025738</v>
      </c>
      <c r="H36" s="120">
        <f>AVERAGE(B36:E36)</f>
        <v>0.10976371184952208</v>
      </c>
      <c r="I36" s="120">
        <f>MAX(B36:E36)</f>
        <v>0.1244307176883209</v>
      </c>
      <c r="J36" s="121"/>
    </row>
    <row r="37" spans="1:11" x14ac:dyDescent="0.2">
      <c r="A37" s="92" t="s">
        <v>129</v>
      </c>
      <c r="B37" s="93">
        <f>1-SUM(B16:B18)-(B23*(B125+B134))/B12-B24-B28*B27-B25-B29</f>
        <v>1.93902392635702E-2</v>
      </c>
      <c r="C37" s="93">
        <f>1-SUM(C16:C18)-(C23*(C125+C134))/C12-C24-C28*C27-C25-C29</f>
        <v>1.8270596590908975E-2</v>
      </c>
      <c r="D37" s="93">
        <f>1-SUM(D16:D18)-(D23*(D125+D134))/D12-D24-D28*D27-D25-D29</f>
        <v>2.0456286198676357E-2</v>
      </c>
      <c r="E37" s="93">
        <f>1-SUM(E16:E18)-(E23*(E125+E134))/E12-E24-E28*E27-E25-E29</f>
        <v>1.979464112736801E-2</v>
      </c>
      <c r="F37" s="93">
        <f>1-SUM(F16:F18)-(F23*(F125+F134))/F12-F24-F28*F27-F25-F29</f>
        <v>2.0763417942259284E-2</v>
      </c>
      <c r="G37" s="119">
        <f>MIN(B37:E37)</f>
        <v>1.8270596590908975E-2</v>
      </c>
      <c r="H37" s="120">
        <f>AVERAGE(B37:E37)</f>
        <v>1.9477940795130884E-2</v>
      </c>
      <c r="I37" s="120">
        <f>MAX(B37:E37)</f>
        <v>2.0456286198676357E-2</v>
      </c>
      <c r="J37" s="121"/>
    </row>
    <row r="38" spans="1:11" x14ac:dyDescent="0.2">
      <c r="A38" s="92" t="s">
        <v>130</v>
      </c>
      <c r="B38" s="152">
        <f>B53/B12</f>
        <v>0.19991251093613299</v>
      </c>
      <c r="C38" s="152">
        <f t="shared" ref="C38:E38" si="14">C53/C12</f>
        <v>0.20130504261363635</v>
      </c>
      <c r="D38" s="152">
        <f t="shared" si="14"/>
        <v>0.2036506338264529</v>
      </c>
      <c r="E38" s="152">
        <f t="shared" si="14"/>
        <v>0.22041122314035663</v>
      </c>
      <c r="F38" s="152">
        <f t="shared" ref="F38" si="15">F53/F12</f>
        <v>0.21965510559968998</v>
      </c>
      <c r="G38" s="153">
        <f>MIN(B38:E38)</f>
        <v>0.19991251093613299</v>
      </c>
      <c r="H38" s="154">
        <f>AVERAGE(B38:E38)</f>
        <v>0.20631985262914473</v>
      </c>
      <c r="I38" s="154">
        <f>MAX(B38:E38)</f>
        <v>0.22041122314035663</v>
      </c>
      <c r="J38" s="121"/>
    </row>
    <row r="39" spans="1:11" x14ac:dyDescent="0.2">
      <c r="A39" s="92" t="s">
        <v>131</v>
      </c>
      <c r="B39" s="93">
        <f>B53/B57</f>
        <v>1.1086967986920522</v>
      </c>
      <c r="C39" s="93">
        <f t="shared" ref="C39:E39" si="16">C53/C57</f>
        <v>1.1273803012976682</v>
      </c>
      <c r="D39" s="93">
        <f t="shared" si="16"/>
        <v>1.2387583102130555</v>
      </c>
      <c r="E39" s="93">
        <f t="shared" si="16"/>
        <v>1.1665552137666622</v>
      </c>
      <c r="F39" s="93">
        <f t="shared" ref="F39" si="17">F53/F57</f>
        <v>1.2000254054282933</v>
      </c>
      <c r="G39" s="119">
        <f>MIN(B39:E39)</f>
        <v>1.1086967986920522</v>
      </c>
      <c r="H39" s="120">
        <f>AVERAGE(B39:E39)</f>
        <v>1.1603476559923596</v>
      </c>
      <c r="I39" s="120">
        <f>MAX(B39:E39)</f>
        <v>1.2387583102130555</v>
      </c>
      <c r="J39" s="121"/>
      <c r="K39" t="s">
        <v>150</v>
      </c>
    </row>
    <row r="40" spans="1:11" x14ac:dyDescent="0.2">
      <c r="A40" s="94" t="s">
        <v>132</v>
      </c>
      <c r="B40" s="43"/>
      <c r="C40" s="43"/>
      <c r="D40" s="43"/>
      <c r="E40" s="43"/>
      <c r="F40" s="43"/>
      <c r="G40" s="36"/>
      <c r="H40" s="122"/>
      <c r="I40" s="122"/>
      <c r="J40" s="121"/>
    </row>
    <row r="41" spans="1:11" x14ac:dyDescent="0.2">
      <c r="A41" s="92" t="s">
        <v>133</v>
      </c>
      <c r="B41" s="95">
        <f>B12*(1-B16-B17-B18)</f>
        <v>3998.9999999999968</v>
      </c>
      <c r="C41" s="95">
        <f>C12*(1-C16-C17-C18)</f>
        <v>4248.9999999999973</v>
      </c>
      <c r="D41" s="95">
        <f>D12*(1-D16-D17-D18)</f>
        <v>4750.9999999999945</v>
      </c>
      <c r="E41" s="95">
        <f>E12*(1-E16-E17-E18)</f>
        <v>4927.0000000000045</v>
      </c>
      <c r="F41" s="95">
        <f>F12*(1-F16-F17-F18)</f>
        <v>5481</v>
      </c>
      <c r="G41" s="36"/>
      <c r="H41" s="122"/>
      <c r="I41" s="122"/>
      <c r="J41" s="121"/>
    </row>
    <row r="42" spans="1:11" ht="16" thickBot="1" x14ac:dyDescent="0.25">
      <c r="A42" s="92" t="s">
        <v>134</v>
      </c>
      <c r="B42" s="37"/>
      <c r="C42" s="93">
        <f>C41/B41-1</f>
        <v>6.2515628907227061E-2</v>
      </c>
      <c r="D42" s="93">
        <f t="shared" ref="D42:F42" si="18">D41/C41-1</f>
        <v>0.1181454459872906</v>
      </c>
      <c r="E42" s="93">
        <f t="shared" si="18"/>
        <v>3.7044832666809135E-2</v>
      </c>
      <c r="F42" s="93">
        <f t="shared" si="18"/>
        <v>0.11244164806169987</v>
      </c>
      <c r="G42" s="36"/>
      <c r="H42" s="122"/>
      <c r="I42" s="122"/>
      <c r="J42" s="121"/>
    </row>
    <row r="43" spans="1:11" ht="16" thickBot="1" x14ac:dyDescent="0.25">
      <c r="A43" s="110" t="s">
        <v>135</v>
      </c>
      <c r="B43" s="111"/>
      <c r="C43" s="112">
        <f>C42/C13</f>
        <v>0.87839303492362009</v>
      </c>
      <c r="D43" s="112">
        <f t="shared" ref="D43:E43" si="19">D42/D13</f>
        <v>3.7392253543153839</v>
      </c>
      <c r="E43" s="112">
        <f t="shared" si="19"/>
        <v>1.7081636948613255</v>
      </c>
      <c r="F43" s="112">
        <f t="shared" ref="F43" si="20">F42/F13</f>
        <v>1.2952610145776207</v>
      </c>
      <c r="G43" s="113">
        <f>MIN(B43:E43)</f>
        <v>0.87839303492362009</v>
      </c>
      <c r="H43" s="114">
        <f>AVERAGE(B43:E43)</f>
        <v>2.1085940280334432</v>
      </c>
      <c r="I43" s="114">
        <f>MAX(B43:E43)</f>
        <v>3.7392253543153839</v>
      </c>
      <c r="J43" s="115"/>
    </row>
    <row r="45" spans="1:11" ht="16" thickBot="1" x14ac:dyDescent="0.25">
      <c r="A45" s="74" t="s">
        <v>136</v>
      </c>
      <c r="B45" s="73"/>
      <c r="C45" s="73"/>
      <c r="D45" s="73"/>
      <c r="E45" s="73"/>
      <c r="F45" s="238"/>
    </row>
    <row r="46" spans="1:11" x14ac:dyDescent="0.2">
      <c r="A46" s="75" t="s">
        <v>137</v>
      </c>
      <c r="B46" s="76"/>
      <c r="C46" s="76"/>
      <c r="D46" s="76"/>
      <c r="E46" s="76"/>
      <c r="F46" s="198"/>
    </row>
    <row r="47" spans="1:11" x14ac:dyDescent="0.2">
      <c r="A47" s="77" t="s">
        <v>138</v>
      </c>
      <c r="B47" s="78">
        <f>B109</f>
        <v>15840</v>
      </c>
      <c r="C47" s="78">
        <f t="shared" ref="C47:E47" si="21">C109</f>
        <v>17588</v>
      </c>
      <c r="D47" s="78">
        <f t="shared" si="21"/>
        <v>16779</v>
      </c>
      <c r="E47" s="78">
        <f t="shared" si="21"/>
        <v>15218</v>
      </c>
      <c r="F47" s="78">
        <f t="shared" ref="F47" si="22">F109</f>
        <v>17317</v>
      </c>
    </row>
    <row r="48" spans="1:11" x14ac:dyDescent="0.2">
      <c r="A48" s="77" t="s">
        <v>139</v>
      </c>
      <c r="B48" s="78">
        <f>B133</f>
        <v>13257</v>
      </c>
      <c r="C48" s="78">
        <f t="shared" ref="C48:E48" si="23">C133</f>
        <v>14412</v>
      </c>
      <c r="D48" s="78">
        <f t="shared" si="23"/>
        <v>16539</v>
      </c>
      <c r="E48" s="78">
        <f t="shared" si="23"/>
        <v>15575</v>
      </c>
      <c r="F48" s="78">
        <f t="shared" ref="F48" si="24">F133</f>
        <v>17495</v>
      </c>
    </row>
    <row r="49" spans="1:6" x14ac:dyDescent="0.2">
      <c r="A49" s="79" t="s">
        <v>140</v>
      </c>
      <c r="B49" s="80">
        <f>B103</f>
        <v>4644</v>
      </c>
      <c r="C49" s="80">
        <f t="shared" ref="C49:E49" si="25">C103</f>
        <v>5738</v>
      </c>
      <c r="D49" s="80">
        <f t="shared" si="25"/>
        <v>4801</v>
      </c>
      <c r="E49" s="80">
        <f t="shared" si="25"/>
        <v>3379</v>
      </c>
      <c r="F49" s="80">
        <f t="shared" ref="F49" si="26">F103</f>
        <v>4546</v>
      </c>
    </row>
    <row r="50" spans="1:6" x14ac:dyDescent="0.2">
      <c r="A50" s="77" t="s">
        <v>141</v>
      </c>
      <c r="B50" s="81">
        <f>B47-B48-B49</f>
        <v>-2061</v>
      </c>
      <c r="C50" s="81">
        <f t="shared" ref="C50:E50" si="27">C47-C48-C49</f>
        <v>-2562</v>
      </c>
      <c r="D50" s="81">
        <f t="shared" si="27"/>
        <v>-4561</v>
      </c>
      <c r="E50" s="81">
        <f t="shared" si="27"/>
        <v>-3736</v>
      </c>
      <c r="F50" s="81">
        <f t="shared" ref="F50" si="28">F47-F48-F49</f>
        <v>-4724</v>
      </c>
    </row>
    <row r="51" spans="1:6" x14ac:dyDescent="0.2">
      <c r="A51" s="82" t="s">
        <v>125</v>
      </c>
      <c r="B51" s="83"/>
      <c r="C51" s="81">
        <f>C50-B50</f>
        <v>-501</v>
      </c>
      <c r="D51" s="81">
        <f t="shared" ref="D51:F51" si="29">D50-C50</f>
        <v>-1999</v>
      </c>
      <c r="E51" s="81">
        <f t="shared" si="29"/>
        <v>825</v>
      </c>
      <c r="F51" s="81">
        <f t="shared" si="29"/>
        <v>-988</v>
      </c>
    </row>
    <row r="52" spans="1:6" x14ac:dyDescent="0.2">
      <c r="A52" s="88" t="s">
        <v>142</v>
      </c>
      <c r="B52" s="89"/>
      <c r="C52" s="89"/>
      <c r="D52" s="89"/>
      <c r="E52" s="89"/>
      <c r="F52" s="89"/>
    </row>
    <row r="53" spans="1:6" x14ac:dyDescent="0.2">
      <c r="A53" s="77" t="s">
        <v>143</v>
      </c>
      <c r="B53" s="78">
        <f>B116</f>
        <v>21022</v>
      </c>
      <c r="C53" s="78">
        <f t="shared" ref="C53:E53" si="30">C116</f>
        <v>22675</v>
      </c>
      <c r="D53" s="78">
        <f t="shared" si="30"/>
        <v>23664</v>
      </c>
      <c r="E53" s="78">
        <f t="shared" si="30"/>
        <v>26167</v>
      </c>
      <c r="F53" s="78">
        <f t="shared" ref="F53" si="31">F116</f>
        <v>28341</v>
      </c>
    </row>
    <row r="54" spans="1:6" x14ac:dyDescent="0.2">
      <c r="A54" s="77" t="s">
        <v>144</v>
      </c>
      <c r="B54" s="83">
        <f>B95</f>
        <v>946</v>
      </c>
      <c r="C54" s="83">
        <f t="shared" ref="C54:E54" si="32">C95</f>
        <v>1029</v>
      </c>
      <c r="D54" s="83">
        <f t="shared" si="32"/>
        <v>1127</v>
      </c>
      <c r="E54" s="83">
        <f t="shared" si="32"/>
        <v>1255</v>
      </c>
      <c r="F54" s="83">
        <f t="shared" ref="F54" si="33">F95</f>
        <v>1370</v>
      </c>
    </row>
    <row r="55" spans="1:6" x14ac:dyDescent="0.2">
      <c r="A55" s="84" t="s">
        <v>145</v>
      </c>
      <c r="B55" s="85"/>
      <c r="C55" s="253">
        <f>C53-B53+C54</f>
        <v>2682</v>
      </c>
      <c r="D55" s="85">
        <f t="shared" ref="D55:F55" si="34">D53-C53+D54</f>
        <v>2116</v>
      </c>
      <c r="E55" s="85">
        <f t="shared" si="34"/>
        <v>3758</v>
      </c>
      <c r="F55" s="85">
        <f t="shared" si="34"/>
        <v>3544</v>
      </c>
    </row>
    <row r="56" spans="1:6" x14ac:dyDescent="0.2">
      <c r="A56" s="88" t="s">
        <v>146</v>
      </c>
      <c r="B56" s="89"/>
      <c r="C56" s="89"/>
      <c r="D56" s="89"/>
      <c r="E56" s="89"/>
      <c r="F56" s="89"/>
    </row>
    <row r="57" spans="1:6" ht="16" thickBot="1" x14ac:dyDescent="0.25">
      <c r="A57" s="86" t="s">
        <v>147</v>
      </c>
      <c r="B57" s="87">
        <f>B50+B53</f>
        <v>18961</v>
      </c>
      <c r="C57" s="87">
        <f t="shared" ref="C57:E57" si="35">C50+C53</f>
        <v>20113</v>
      </c>
      <c r="D57" s="87">
        <f t="shared" si="35"/>
        <v>19103</v>
      </c>
      <c r="E57" s="87">
        <f t="shared" si="35"/>
        <v>22431</v>
      </c>
      <c r="F57" s="87">
        <f t="shared" ref="F57" si="36">F50+F53</f>
        <v>23617</v>
      </c>
    </row>
    <row r="60" spans="1:6" x14ac:dyDescent="0.2">
      <c r="A60" s="274" t="s">
        <v>45</v>
      </c>
      <c r="B60" s="274"/>
      <c r="C60" s="274"/>
      <c r="D60" s="274"/>
      <c r="E60" s="274"/>
      <c r="F60" s="235"/>
    </row>
    <row r="61" spans="1:6" x14ac:dyDescent="0.2">
      <c r="A61" t="s">
        <v>46</v>
      </c>
      <c r="B61" s="2">
        <v>41518</v>
      </c>
      <c r="C61" s="2">
        <v>41882</v>
      </c>
      <c r="D61" s="2">
        <v>42246</v>
      </c>
      <c r="E61" s="2">
        <v>42610</v>
      </c>
      <c r="F61" s="2">
        <v>42981</v>
      </c>
    </row>
    <row r="63" spans="1:6" x14ac:dyDescent="0.2">
      <c r="A63" s="3" t="s">
        <v>47</v>
      </c>
    </row>
    <row r="64" spans="1:6" x14ac:dyDescent="0.2">
      <c r="A64" s="4" t="s">
        <v>48</v>
      </c>
      <c r="B64" s="5">
        <v>102870</v>
      </c>
      <c r="C64" s="5">
        <v>110212</v>
      </c>
      <c r="D64" s="5">
        <v>113666</v>
      </c>
      <c r="E64" s="5">
        <v>116073</v>
      </c>
      <c r="F64" s="5">
        <v>126172</v>
      </c>
    </row>
    <row r="65" spans="1:6" x14ac:dyDescent="0.2">
      <c r="A65" s="4" t="s">
        <v>49</v>
      </c>
      <c r="B65" s="6">
        <v>2286</v>
      </c>
      <c r="C65" s="6">
        <v>2428</v>
      </c>
      <c r="D65" s="6">
        <v>2533</v>
      </c>
      <c r="E65" s="6">
        <v>2646</v>
      </c>
      <c r="F65" s="6">
        <v>2853</v>
      </c>
    </row>
    <row r="66" spans="1:6" x14ac:dyDescent="0.2">
      <c r="A66" s="4" t="s">
        <v>50</v>
      </c>
      <c r="B66" s="6">
        <v>105156</v>
      </c>
      <c r="C66" s="6">
        <v>112640</v>
      </c>
      <c r="D66" s="6">
        <v>116199</v>
      </c>
      <c r="E66" s="6">
        <v>118719</v>
      </c>
      <c r="F66" s="6">
        <v>129025</v>
      </c>
    </row>
    <row r="67" spans="1:6" x14ac:dyDescent="0.2">
      <c r="A67" s="4" t="s">
        <v>110</v>
      </c>
      <c r="B67" s="6">
        <f>SUM(B64:B65)</f>
        <v>105156</v>
      </c>
      <c r="C67" s="6">
        <f t="shared" ref="C67:E67" si="37">SUM(C64:C65)</f>
        <v>112640</v>
      </c>
      <c r="D67" s="6">
        <f t="shared" si="37"/>
        <v>116199</v>
      </c>
      <c r="E67" s="6">
        <f t="shared" si="37"/>
        <v>118719</v>
      </c>
      <c r="F67" s="6">
        <f>SUM(F64:F65)</f>
        <v>129025</v>
      </c>
    </row>
    <row r="68" spans="1:6" x14ac:dyDescent="0.2">
      <c r="A68" s="14" t="s">
        <v>111</v>
      </c>
      <c r="B68" s="18" t="b">
        <f>B67=B66</f>
        <v>1</v>
      </c>
      <c r="C68" s="18" t="b">
        <f t="shared" ref="C68:F68" si="38">C67=C66</f>
        <v>1</v>
      </c>
      <c r="D68" s="18" t="b">
        <f t="shared" si="38"/>
        <v>1</v>
      </c>
      <c r="E68" s="18" t="b">
        <f t="shared" si="38"/>
        <v>1</v>
      </c>
      <c r="F68" s="18" t="b">
        <f t="shared" si="38"/>
        <v>1</v>
      </c>
    </row>
    <row r="69" spans="1:6" x14ac:dyDescent="0.2">
      <c r="A69" s="3" t="s">
        <v>51</v>
      </c>
    </row>
    <row r="70" spans="1:6" x14ac:dyDescent="0.2">
      <c r="A70" s="4" t="s">
        <v>52</v>
      </c>
      <c r="B70" s="6">
        <v>91948</v>
      </c>
      <c r="C70" s="6">
        <v>98458</v>
      </c>
      <c r="D70" s="6">
        <v>101065</v>
      </c>
      <c r="E70" s="6">
        <v>102901</v>
      </c>
      <c r="F70" s="6">
        <v>111882</v>
      </c>
    </row>
    <row r="71" spans="1:6" x14ac:dyDescent="0.2">
      <c r="A71" s="4" t="s">
        <v>53</v>
      </c>
      <c r="B71" s="6">
        <v>10104</v>
      </c>
      <c r="C71" s="6">
        <v>10899</v>
      </c>
      <c r="D71" s="6">
        <v>11445</v>
      </c>
      <c r="E71" s="6">
        <v>12068</v>
      </c>
      <c r="F71" s="6">
        <v>12950</v>
      </c>
    </row>
    <row r="72" spans="1:6" x14ac:dyDescent="0.2">
      <c r="A72" s="4" t="s">
        <v>54</v>
      </c>
      <c r="B72" s="6">
        <v>51</v>
      </c>
      <c r="C72" s="6">
        <v>63</v>
      </c>
      <c r="D72" s="6">
        <v>65</v>
      </c>
      <c r="E72" s="6">
        <v>78</v>
      </c>
      <c r="F72" s="6">
        <v>82</v>
      </c>
    </row>
    <row r="73" spans="1:6" x14ac:dyDescent="0.2">
      <c r="A73" s="4" t="s">
        <v>55</v>
      </c>
      <c r="B73" s="6">
        <v>3053</v>
      </c>
      <c r="C73" s="6">
        <v>3220</v>
      </c>
      <c r="D73" s="6">
        <v>3624</v>
      </c>
      <c r="E73" s="6">
        <v>3672</v>
      </c>
      <c r="F73" s="6">
        <v>4111</v>
      </c>
    </row>
    <row r="74" spans="1:6" x14ac:dyDescent="0.2">
      <c r="A74" s="4" t="s">
        <v>112</v>
      </c>
      <c r="B74" s="6">
        <f>B67-B70-B71-B72</f>
        <v>3053</v>
      </c>
      <c r="C74" s="6">
        <f t="shared" ref="C74:E74" si="39">C67-C70-C71-C72</f>
        <v>3220</v>
      </c>
      <c r="D74" s="6">
        <f t="shared" si="39"/>
        <v>3624</v>
      </c>
      <c r="E74" s="6">
        <f t="shared" si="39"/>
        <v>3672</v>
      </c>
      <c r="F74" s="6">
        <f>F67-F70-F71-F72</f>
        <v>4111</v>
      </c>
    </row>
    <row r="75" spans="1:6" x14ac:dyDescent="0.2">
      <c r="A75" s="14" t="s">
        <v>111</v>
      </c>
      <c r="B75" s="18" t="b">
        <f>B74=B73</f>
        <v>1</v>
      </c>
      <c r="C75" s="18" t="b">
        <f t="shared" ref="C75:F75" si="40">C74=C73</f>
        <v>1</v>
      </c>
      <c r="D75" s="18" t="b">
        <f t="shared" si="40"/>
        <v>1</v>
      </c>
      <c r="E75" s="18" t="b">
        <f t="shared" si="40"/>
        <v>1</v>
      </c>
      <c r="F75" s="18" t="b">
        <f t="shared" si="40"/>
        <v>1</v>
      </c>
    </row>
    <row r="76" spans="1:6" x14ac:dyDescent="0.2">
      <c r="A76" s="3" t="s">
        <v>56</v>
      </c>
    </row>
    <row r="77" spans="1:6" x14ac:dyDescent="0.2">
      <c r="A77" s="4" t="s">
        <v>57</v>
      </c>
      <c r="B77" s="6">
        <v>99</v>
      </c>
      <c r="C77" s="6">
        <v>113</v>
      </c>
      <c r="D77" s="6">
        <v>124</v>
      </c>
      <c r="E77" s="6">
        <v>133</v>
      </c>
      <c r="F77" s="6">
        <v>134</v>
      </c>
    </row>
    <row r="78" spans="1:6" x14ac:dyDescent="0.2">
      <c r="A78" s="4" t="s">
        <v>58</v>
      </c>
      <c r="B78" s="6">
        <v>-97</v>
      </c>
      <c r="C78" s="6">
        <v>-90</v>
      </c>
      <c r="D78" s="6">
        <v>-104</v>
      </c>
      <c r="E78" s="6">
        <v>-80</v>
      </c>
      <c r="F78" s="6">
        <v>-62</v>
      </c>
    </row>
    <row r="79" spans="1:6" x14ac:dyDescent="0.2">
      <c r="A79" s="4" t="s">
        <v>59</v>
      </c>
      <c r="B79" s="6">
        <v>3051</v>
      </c>
      <c r="C79" s="6">
        <v>3197</v>
      </c>
      <c r="D79" s="6">
        <v>3604</v>
      </c>
      <c r="E79" s="6">
        <v>3619</v>
      </c>
      <c r="F79" s="6">
        <v>4039</v>
      </c>
    </row>
    <row r="80" spans="1:6" x14ac:dyDescent="0.2">
      <c r="A80" s="4" t="s">
        <v>60</v>
      </c>
      <c r="B80" s="6">
        <v>990</v>
      </c>
      <c r="C80" s="6">
        <v>1109</v>
      </c>
      <c r="D80" s="6">
        <v>1195</v>
      </c>
      <c r="E80" s="6">
        <v>1243</v>
      </c>
      <c r="F80" s="6">
        <v>1325</v>
      </c>
    </row>
    <row r="81" spans="1:6" x14ac:dyDescent="0.2">
      <c r="A81" s="4" t="s">
        <v>61</v>
      </c>
      <c r="B81" s="6">
        <v>2061</v>
      </c>
      <c r="C81" s="6">
        <v>2088</v>
      </c>
      <c r="D81" s="6">
        <v>2409</v>
      </c>
      <c r="E81" s="6">
        <v>2376</v>
      </c>
      <c r="F81" s="6">
        <v>2714</v>
      </c>
    </row>
    <row r="82" spans="1:6" x14ac:dyDescent="0.2">
      <c r="A82" s="4" t="s">
        <v>62</v>
      </c>
      <c r="B82" s="6">
        <v>22</v>
      </c>
      <c r="C82" s="6">
        <v>30</v>
      </c>
      <c r="D82" s="6">
        <v>32</v>
      </c>
      <c r="E82" s="6">
        <v>26</v>
      </c>
      <c r="F82" s="6">
        <v>35</v>
      </c>
    </row>
    <row r="83" spans="1:6" x14ac:dyDescent="0.2">
      <c r="A83" s="4" t="s">
        <v>63</v>
      </c>
      <c r="B83" s="5">
        <v>2039</v>
      </c>
      <c r="C83" s="5">
        <v>2058</v>
      </c>
      <c r="D83" s="5">
        <v>2377</v>
      </c>
      <c r="E83" s="5">
        <v>2350</v>
      </c>
      <c r="F83" s="5">
        <v>2679</v>
      </c>
    </row>
    <row r="84" spans="1:6" x14ac:dyDescent="0.2">
      <c r="A84" s="4" t="s">
        <v>113</v>
      </c>
      <c r="B84" s="5">
        <f>B74-B77-B78-B80-B82</f>
        <v>2039</v>
      </c>
      <c r="C84" s="5">
        <f t="shared" ref="C84:E84" si="41">C74-C77-C78-C80-C82</f>
        <v>2058</v>
      </c>
      <c r="D84" s="5">
        <f t="shared" si="41"/>
        <v>2377</v>
      </c>
      <c r="E84" s="5">
        <f t="shared" si="41"/>
        <v>2350</v>
      </c>
      <c r="F84" s="5">
        <f>F74-F77-F78-F80-F82</f>
        <v>2679</v>
      </c>
    </row>
    <row r="85" spans="1:6" x14ac:dyDescent="0.2">
      <c r="A85" s="14" t="s">
        <v>111</v>
      </c>
      <c r="B85" s="18" t="b">
        <f>B84=B83</f>
        <v>1</v>
      </c>
      <c r="C85" s="18" t="b">
        <f t="shared" ref="C85:F85" si="42">C84=C83</f>
        <v>1</v>
      </c>
      <c r="D85" s="18" t="b">
        <f t="shared" si="42"/>
        <v>1</v>
      </c>
      <c r="E85" s="18" t="b">
        <f t="shared" si="42"/>
        <v>1</v>
      </c>
      <c r="F85" s="18" t="b">
        <f t="shared" si="42"/>
        <v>1</v>
      </c>
    </row>
    <row r="86" spans="1:6" x14ac:dyDescent="0.2">
      <c r="A86" s="3" t="s">
        <v>64</v>
      </c>
    </row>
    <row r="87" spans="1:6" x14ac:dyDescent="0.2">
      <c r="A87" s="4" t="s">
        <v>65</v>
      </c>
      <c r="B87" s="7">
        <v>4.68</v>
      </c>
      <c r="C87" s="7">
        <v>4.6900000000000004</v>
      </c>
      <c r="D87" s="7">
        <v>5.41</v>
      </c>
      <c r="E87" s="7">
        <v>5.36</v>
      </c>
      <c r="F87" s="7">
        <v>6.11</v>
      </c>
    </row>
    <row r="88" spans="1:6" x14ac:dyDescent="0.2">
      <c r="A88" s="4" t="s">
        <v>66</v>
      </c>
      <c r="B88" s="7">
        <v>4.63</v>
      </c>
      <c r="C88" s="7">
        <v>4.6500000000000004</v>
      </c>
      <c r="D88" s="7">
        <v>5.37</v>
      </c>
      <c r="E88" s="7">
        <v>5.33</v>
      </c>
      <c r="F88" s="7">
        <v>6.08</v>
      </c>
    </row>
    <row r="89" spans="1:6" x14ac:dyDescent="0.2">
      <c r="A89" s="3" t="s">
        <v>67</v>
      </c>
    </row>
    <row r="90" spans="1:6" x14ac:dyDescent="0.2">
      <c r="A90" s="4" t="s">
        <v>68</v>
      </c>
      <c r="B90" s="6">
        <v>435741</v>
      </c>
      <c r="C90" s="6">
        <v>438693</v>
      </c>
      <c r="D90" s="6">
        <v>439455</v>
      </c>
      <c r="E90" s="6">
        <v>438585</v>
      </c>
      <c r="F90" s="6">
        <v>438437</v>
      </c>
    </row>
    <row r="91" spans="1:6" x14ac:dyDescent="0.2">
      <c r="A91" s="4" t="s">
        <v>69</v>
      </c>
      <c r="B91" s="6">
        <v>440512</v>
      </c>
      <c r="C91" s="6">
        <v>442485</v>
      </c>
      <c r="D91" s="6">
        <v>442716</v>
      </c>
      <c r="E91" s="6">
        <v>441263</v>
      </c>
      <c r="F91" s="6">
        <v>440937</v>
      </c>
    </row>
    <row r="92" spans="1:6" x14ac:dyDescent="0.2">
      <c r="A92" s="4" t="s">
        <v>70</v>
      </c>
      <c r="B92" s="7">
        <v>8.17</v>
      </c>
      <c r="C92" s="7">
        <v>1.33</v>
      </c>
      <c r="D92" s="7">
        <v>6.51</v>
      </c>
      <c r="E92" s="7">
        <v>1.7</v>
      </c>
      <c r="F92" s="7">
        <v>8.9</v>
      </c>
    </row>
    <row r="95" spans="1:6" x14ac:dyDescent="0.2">
      <c r="A95" s="19" t="s">
        <v>114</v>
      </c>
      <c r="B95" s="20">
        <v>946</v>
      </c>
      <c r="C95" s="20">
        <v>1029</v>
      </c>
      <c r="D95" s="20">
        <v>1127</v>
      </c>
      <c r="E95" s="20">
        <v>1255</v>
      </c>
      <c r="F95" s="20">
        <v>1370</v>
      </c>
    </row>
    <row r="99" spans="1:6" x14ac:dyDescent="0.2">
      <c r="A99" s="274" t="s">
        <v>4</v>
      </c>
      <c r="B99" s="274"/>
      <c r="C99" s="274"/>
      <c r="D99" s="274"/>
      <c r="E99" s="274"/>
      <c r="F99" s="235"/>
    </row>
    <row r="100" spans="1:6" x14ac:dyDescent="0.2">
      <c r="A100" t="s">
        <v>5</v>
      </c>
      <c r="B100" s="2">
        <v>41518</v>
      </c>
      <c r="C100" s="2">
        <v>41882</v>
      </c>
      <c r="D100" s="2">
        <v>42246</v>
      </c>
      <c r="E100" s="2">
        <v>42610</v>
      </c>
      <c r="F100" s="2">
        <v>42975</v>
      </c>
    </row>
    <row r="101" spans="1:6" x14ac:dyDescent="0.2">
      <c r="A101" t="s">
        <v>6</v>
      </c>
    </row>
    <row r="102" spans="1:6" x14ac:dyDescent="0.2">
      <c r="A102" s="3" t="s">
        <v>8</v>
      </c>
      <c r="B102" s="8"/>
    </row>
    <row r="103" spans="1:6" x14ac:dyDescent="0.2">
      <c r="A103" s="4" t="s">
        <v>7</v>
      </c>
      <c r="B103" s="9">
        <v>4644</v>
      </c>
      <c r="C103" s="5">
        <v>5738</v>
      </c>
      <c r="D103" s="5">
        <v>4801</v>
      </c>
      <c r="E103" s="5">
        <v>3379</v>
      </c>
      <c r="F103" s="5">
        <v>4546</v>
      </c>
    </row>
    <row r="104" spans="1:6" x14ac:dyDescent="0.2">
      <c r="A104" s="4" t="s">
        <v>9</v>
      </c>
      <c r="B104" s="10">
        <v>1480</v>
      </c>
      <c r="C104" s="6">
        <v>1577</v>
      </c>
      <c r="D104" s="6">
        <v>1618</v>
      </c>
      <c r="E104" s="6">
        <v>1350</v>
      </c>
      <c r="F104" s="6">
        <v>1233</v>
      </c>
    </row>
    <row r="105" spans="1:6" x14ac:dyDescent="0.2">
      <c r="A105" s="4" t="s">
        <v>10</v>
      </c>
      <c r="B105" s="10">
        <v>1201</v>
      </c>
      <c r="C105" s="6">
        <v>1148</v>
      </c>
      <c r="D105" s="6">
        <v>1224</v>
      </c>
      <c r="E105" s="6">
        <v>1252</v>
      </c>
      <c r="F105" s="6">
        <v>1432</v>
      </c>
    </row>
    <row r="106" spans="1:6" x14ac:dyDescent="0.2">
      <c r="A106" s="4" t="s">
        <v>11</v>
      </c>
      <c r="B106" s="10">
        <v>7894</v>
      </c>
      <c r="C106" s="6">
        <v>8456</v>
      </c>
      <c r="D106" s="6">
        <v>8908</v>
      </c>
      <c r="E106" s="6">
        <v>8969</v>
      </c>
      <c r="F106" s="6">
        <v>9834</v>
      </c>
    </row>
    <row r="107" spans="1:6" x14ac:dyDescent="0.2">
      <c r="A107" s="4" t="s">
        <v>12</v>
      </c>
      <c r="B107" s="8">
        <v>621</v>
      </c>
      <c r="C107" s="6">
        <v>669</v>
      </c>
      <c r="D107" s="6">
        <v>228</v>
      </c>
      <c r="E107" s="6">
        <v>268</v>
      </c>
      <c r="F107" s="6">
        <v>272</v>
      </c>
    </row>
    <row r="108" spans="1:6" x14ac:dyDescent="0.2">
      <c r="A108" s="4" t="s">
        <v>13</v>
      </c>
      <c r="B108" s="10">
        <v>15840</v>
      </c>
      <c r="C108" s="6">
        <v>17588</v>
      </c>
      <c r="D108" s="6">
        <v>16779</v>
      </c>
      <c r="E108" s="6">
        <v>15218</v>
      </c>
      <c r="F108" s="6">
        <v>17317</v>
      </c>
    </row>
    <row r="109" spans="1:6" x14ac:dyDescent="0.2">
      <c r="A109" s="4" t="s">
        <v>104</v>
      </c>
      <c r="B109" s="10">
        <f>SUM(B103:B107)</f>
        <v>15840</v>
      </c>
      <c r="C109" s="10">
        <f t="shared" ref="C109:E109" si="43">SUM(C103:C107)</f>
        <v>17588</v>
      </c>
      <c r="D109" s="10">
        <f t="shared" si="43"/>
        <v>16779</v>
      </c>
      <c r="E109" s="10">
        <f t="shared" si="43"/>
        <v>15218</v>
      </c>
      <c r="F109" s="10">
        <f>SUM(F103:F107)</f>
        <v>17317</v>
      </c>
    </row>
    <row r="110" spans="1:6" x14ac:dyDescent="0.2">
      <c r="A110" s="14" t="s">
        <v>105</v>
      </c>
      <c r="B110" s="15" t="b">
        <f>B109=B108</f>
        <v>1</v>
      </c>
      <c r="C110" s="15" t="b">
        <f t="shared" ref="C110:F110" si="44">C109=C108</f>
        <v>1</v>
      </c>
      <c r="D110" s="15" t="b">
        <f t="shared" si="44"/>
        <v>1</v>
      </c>
      <c r="E110" s="15" t="b">
        <f t="shared" si="44"/>
        <v>1</v>
      </c>
      <c r="F110" s="15" t="b">
        <f t="shared" si="44"/>
        <v>1</v>
      </c>
    </row>
    <row r="111" spans="1:6" x14ac:dyDescent="0.2">
      <c r="A111" s="3" t="s">
        <v>14</v>
      </c>
      <c r="B111" s="8"/>
    </row>
    <row r="112" spans="1:6" x14ac:dyDescent="0.2">
      <c r="A112" s="4" t="s">
        <v>15</v>
      </c>
      <c r="B112" s="10">
        <v>4409</v>
      </c>
      <c r="C112" s="6">
        <v>4716</v>
      </c>
      <c r="D112" s="6">
        <v>4961</v>
      </c>
      <c r="E112" s="6">
        <v>5395</v>
      </c>
      <c r="F112" s="6">
        <v>5690</v>
      </c>
    </row>
    <row r="113" spans="1:6" x14ac:dyDescent="0.2">
      <c r="A113" s="4" t="s">
        <v>16</v>
      </c>
      <c r="B113" s="10">
        <v>11556</v>
      </c>
      <c r="C113" s="6">
        <v>12522</v>
      </c>
      <c r="D113" s="6">
        <v>12618</v>
      </c>
      <c r="E113" s="6">
        <v>13994</v>
      </c>
      <c r="F113" s="6">
        <v>15127</v>
      </c>
    </row>
    <row r="114" spans="1:6" x14ac:dyDescent="0.2">
      <c r="A114" s="4" t="s">
        <v>17</v>
      </c>
      <c r="B114" s="10">
        <v>4472</v>
      </c>
      <c r="C114" s="6">
        <v>4845</v>
      </c>
      <c r="D114" s="6">
        <v>5274</v>
      </c>
      <c r="E114" s="6">
        <v>6077</v>
      </c>
      <c r="F114" s="6">
        <v>6681</v>
      </c>
    </row>
    <row r="115" spans="1:6" x14ac:dyDescent="0.2">
      <c r="A115" s="4" t="s">
        <v>18</v>
      </c>
      <c r="B115" s="8">
        <v>585</v>
      </c>
      <c r="C115" s="6">
        <v>592</v>
      </c>
      <c r="D115" s="6">
        <v>811</v>
      </c>
      <c r="E115" s="6">
        <v>701</v>
      </c>
      <c r="F115" s="6">
        <v>843</v>
      </c>
    </row>
    <row r="116" spans="1:6" x14ac:dyDescent="0.2">
      <c r="A116" s="4" t="s">
        <v>19</v>
      </c>
      <c r="B116" s="10">
        <v>21022</v>
      </c>
      <c r="C116" s="6">
        <v>22675</v>
      </c>
      <c r="D116" s="6">
        <v>23664</v>
      </c>
      <c r="E116" s="6">
        <v>26167</v>
      </c>
      <c r="F116" s="6">
        <v>28341</v>
      </c>
    </row>
    <row r="117" spans="1:6" x14ac:dyDescent="0.2">
      <c r="A117" s="4" t="s">
        <v>20</v>
      </c>
      <c r="B117" s="10">
        <v>-7141</v>
      </c>
      <c r="C117" s="6">
        <v>-7845</v>
      </c>
      <c r="D117" s="6">
        <v>-8263</v>
      </c>
      <c r="E117" s="6">
        <v>-9124</v>
      </c>
      <c r="F117" s="6">
        <v>-10180</v>
      </c>
    </row>
    <row r="118" spans="1:6" x14ac:dyDescent="0.2">
      <c r="A118" s="4" t="s">
        <v>21</v>
      </c>
      <c r="B118" s="10">
        <v>13881</v>
      </c>
      <c r="C118" s="6">
        <v>14830</v>
      </c>
      <c r="D118" s="6">
        <v>15401</v>
      </c>
      <c r="E118" s="6">
        <v>17043</v>
      </c>
      <c r="F118" s="6">
        <v>18161</v>
      </c>
    </row>
    <row r="119" spans="1:6" x14ac:dyDescent="0.2">
      <c r="A119" s="4" t="s">
        <v>22</v>
      </c>
      <c r="B119" s="8">
        <v>562</v>
      </c>
      <c r="C119" s="6">
        <v>606</v>
      </c>
      <c r="D119" s="6">
        <v>837</v>
      </c>
      <c r="E119" s="6">
        <v>902</v>
      </c>
      <c r="F119" s="6">
        <v>869</v>
      </c>
    </row>
    <row r="120" spans="1:6" x14ac:dyDescent="0.2">
      <c r="A120" s="4" t="s">
        <v>23</v>
      </c>
      <c r="B120" s="10">
        <v>30283</v>
      </c>
      <c r="C120" s="6">
        <v>33024</v>
      </c>
      <c r="D120" s="6">
        <v>33017</v>
      </c>
      <c r="E120" s="6">
        <v>33163</v>
      </c>
      <c r="F120" s="6">
        <v>36347</v>
      </c>
    </row>
    <row r="121" spans="1:6" x14ac:dyDescent="0.2">
      <c r="A121" s="4" t="s">
        <v>106</v>
      </c>
      <c r="B121" s="10">
        <f>SUM(B109,B112:B115,B117,B119)</f>
        <v>30283</v>
      </c>
      <c r="C121" s="10">
        <f t="shared" ref="C121:E121" si="45">SUM(C109,C112:C115,C117,C119)</f>
        <v>33024</v>
      </c>
      <c r="D121" s="10">
        <f t="shared" si="45"/>
        <v>33017</v>
      </c>
      <c r="E121" s="10">
        <f t="shared" si="45"/>
        <v>33163</v>
      </c>
      <c r="F121" s="10">
        <f>SUM(F109,F112:F115,F117,F119)</f>
        <v>36347</v>
      </c>
    </row>
    <row r="122" spans="1:6" x14ac:dyDescent="0.2">
      <c r="A122" s="14" t="s">
        <v>105</v>
      </c>
      <c r="B122" s="15" t="b">
        <f>B121=B120</f>
        <v>1</v>
      </c>
      <c r="C122" s="15" t="b">
        <f t="shared" ref="C122:F122" si="46">C121=C120</f>
        <v>1</v>
      </c>
      <c r="D122" s="15" t="b">
        <f t="shared" si="46"/>
        <v>1</v>
      </c>
      <c r="E122" s="15" t="b">
        <f t="shared" si="46"/>
        <v>1</v>
      </c>
      <c r="F122" s="15" t="b">
        <f t="shared" si="46"/>
        <v>1</v>
      </c>
    </row>
    <row r="123" spans="1:6" x14ac:dyDescent="0.2">
      <c r="A123" s="3" t="s">
        <v>24</v>
      </c>
      <c r="B123" s="8"/>
    </row>
    <row r="124" spans="1:6" x14ac:dyDescent="0.2">
      <c r="A124" s="4" t="s">
        <v>25</v>
      </c>
      <c r="B124" s="10">
        <v>7872</v>
      </c>
      <c r="C124" s="6">
        <v>8491</v>
      </c>
      <c r="D124" s="6">
        <v>9011</v>
      </c>
      <c r="E124" s="6">
        <v>7612</v>
      </c>
      <c r="F124" s="6">
        <v>9608</v>
      </c>
    </row>
    <row r="125" spans="1:6" x14ac:dyDescent="0.2">
      <c r="A125" s="4" t="s">
        <v>26</v>
      </c>
      <c r="B125" s="6">
        <v>0</v>
      </c>
      <c r="C125" s="6">
        <v>0</v>
      </c>
      <c r="D125" s="6">
        <v>1283</v>
      </c>
      <c r="E125" s="6">
        <v>1100</v>
      </c>
      <c r="F125" s="6">
        <v>86</v>
      </c>
    </row>
    <row r="126" spans="1:6" x14ac:dyDescent="0.2">
      <c r="A126" s="4"/>
      <c r="C126" s="6"/>
      <c r="D126" s="6"/>
      <c r="E126" s="6"/>
    </row>
    <row r="127" spans="1:6" x14ac:dyDescent="0.2">
      <c r="A127" s="4" t="s">
        <v>27</v>
      </c>
      <c r="B127" s="10">
        <v>2037</v>
      </c>
      <c r="C127" s="6">
        <v>2231</v>
      </c>
      <c r="D127" s="6">
        <v>2468</v>
      </c>
      <c r="E127" s="6">
        <v>2629</v>
      </c>
      <c r="F127" s="6">
        <v>2703</v>
      </c>
    </row>
    <row r="128" spans="1:6" x14ac:dyDescent="0.2">
      <c r="A128" s="4"/>
      <c r="C128" s="6"/>
      <c r="D128" s="6"/>
      <c r="E128" s="6"/>
    </row>
    <row r="129" spans="1:6" x14ac:dyDescent="0.2">
      <c r="A129" s="4" t="s">
        <v>28</v>
      </c>
      <c r="B129" s="8">
        <v>710</v>
      </c>
      <c r="C129" s="6">
        <v>773</v>
      </c>
      <c r="D129" s="6">
        <v>813</v>
      </c>
      <c r="E129" s="6">
        <v>869</v>
      </c>
      <c r="F129" s="6">
        <v>961</v>
      </c>
    </row>
    <row r="130" spans="1:6" x14ac:dyDescent="0.2">
      <c r="A130" s="4" t="s">
        <v>71</v>
      </c>
      <c r="B130" s="8">
        <v>382</v>
      </c>
      <c r="C130" s="6"/>
      <c r="D130" s="6"/>
      <c r="E130" s="6"/>
    </row>
    <row r="131" spans="1:6" x14ac:dyDescent="0.2">
      <c r="A131" s="4" t="s">
        <v>29</v>
      </c>
      <c r="B131" s="10">
        <v>1167</v>
      </c>
      <c r="C131" s="6">
        <v>1254</v>
      </c>
      <c r="D131" s="6">
        <v>1269</v>
      </c>
      <c r="E131" s="6">
        <v>1362</v>
      </c>
      <c r="F131" s="6">
        <v>1498</v>
      </c>
    </row>
    <row r="132" spans="1:6" x14ac:dyDescent="0.2">
      <c r="A132" s="4" t="s">
        <v>30</v>
      </c>
      <c r="B132" s="10">
        <v>1089</v>
      </c>
      <c r="C132" s="6">
        <v>1663</v>
      </c>
      <c r="D132" s="6">
        <v>1695</v>
      </c>
      <c r="E132" s="6">
        <v>2003</v>
      </c>
      <c r="F132" s="6">
        <v>2639</v>
      </c>
    </row>
    <row r="133" spans="1:6" x14ac:dyDescent="0.2">
      <c r="A133" s="4" t="s">
        <v>31</v>
      </c>
      <c r="B133" s="10">
        <v>13257</v>
      </c>
      <c r="C133" s="6">
        <v>14412</v>
      </c>
      <c r="D133" s="6">
        <v>16539</v>
      </c>
      <c r="E133" s="6">
        <v>15575</v>
      </c>
      <c r="F133" s="6">
        <v>17495</v>
      </c>
    </row>
    <row r="134" spans="1:6" x14ac:dyDescent="0.2">
      <c r="A134" s="4" t="s">
        <v>32</v>
      </c>
      <c r="B134" s="10">
        <v>4998</v>
      </c>
      <c r="C134" s="6">
        <v>5093</v>
      </c>
      <c r="D134" s="6">
        <v>4852</v>
      </c>
      <c r="E134" s="6">
        <v>4061</v>
      </c>
      <c r="F134" s="6">
        <v>6573</v>
      </c>
    </row>
    <row r="135" spans="1:6" x14ac:dyDescent="0.2">
      <c r="A135" s="4" t="s">
        <v>33</v>
      </c>
      <c r="B135" s="10">
        <v>1016</v>
      </c>
      <c r="C135" s="6">
        <v>1004</v>
      </c>
      <c r="D135" s="6">
        <v>783</v>
      </c>
      <c r="E135" s="6">
        <v>1195</v>
      </c>
      <c r="F135" s="6">
        <v>1200</v>
      </c>
    </row>
    <row r="136" spans="1:6" x14ac:dyDescent="0.2">
      <c r="A136" s="4" t="s">
        <v>34</v>
      </c>
      <c r="B136" s="10">
        <v>19271</v>
      </c>
      <c r="C136" s="5">
        <v>20509</v>
      </c>
      <c r="D136" s="6">
        <v>22174</v>
      </c>
      <c r="E136" s="6">
        <v>20831</v>
      </c>
      <c r="F136" s="6">
        <v>25268</v>
      </c>
    </row>
    <row r="137" spans="1:6" x14ac:dyDescent="0.2">
      <c r="A137" s="4" t="s">
        <v>107</v>
      </c>
      <c r="B137" s="16">
        <f>SUM(B124:B132,B134:B135)</f>
        <v>19271</v>
      </c>
      <c r="C137" s="16">
        <f t="shared" ref="C137:E137" si="47">SUM(C124:C132,C134:C135)</f>
        <v>20509</v>
      </c>
      <c r="D137" s="16">
        <f t="shared" si="47"/>
        <v>22174</v>
      </c>
      <c r="E137" s="16">
        <f t="shared" si="47"/>
        <v>20831</v>
      </c>
      <c r="F137" s="16">
        <f>SUM(F124:F132,F134:F135)</f>
        <v>25268</v>
      </c>
    </row>
    <row r="138" spans="1:6" x14ac:dyDescent="0.2">
      <c r="A138" s="14" t="s">
        <v>105</v>
      </c>
      <c r="B138" s="15" t="b">
        <f>B137=B136</f>
        <v>1</v>
      </c>
      <c r="C138" s="15" t="b">
        <f t="shared" ref="C138:E138" si="48">C137=C136</f>
        <v>1</v>
      </c>
      <c r="D138" s="15" t="b">
        <f t="shared" si="48"/>
        <v>1</v>
      </c>
      <c r="E138" s="15" t="b">
        <f t="shared" si="48"/>
        <v>1</v>
      </c>
      <c r="F138" s="15" t="b">
        <f>F136=F137</f>
        <v>1</v>
      </c>
    </row>
    <row r="139" spans="1:6" x14ac:dyDescent="0.2">
      <c r="A139" s="3" t="s">
        <v>35</v>
      </c>
      <c r="B139" s="8"/>
    </row>
    <row r="140" spans="1:6" x14ac:dyDescent="0.2">
      <c r="A140" s="4" t="s">
        <v>36</v>
      </c>
      <c r="B140" s="8">
        <v>0</v>
      </c>
      <c r="C140" s="5">
        <v>0</v>
      </c>
      <c r="D140" s="6">
        <v>0</v>
      </c>
      <c r="E140" s="6">
        <v>0</v>
      </c>
      <c r="F140" s="5">
        <v>0</v>
      </c>
    </row>
    <row r="141" spans="1:6" ht="30" x14ac:dyDescent="0.2">
      <c r="A141" s="4" t="s">
        <v>37</v>
      </c>
      <c r="B141" s="8">
        <v>2</v>
      </c>
      <c r="C141" s="6">
        <v>2</v>
      </c>
      <c r="D141" s="6">
        <v>2</v>
      </c>
      <c r="E141" s="6">
        <v>2</v>
      </c>
      <c r="F141" s="6">
        <v>4</v>
      </c>
    </row>
    <row r="142" spans="1:6" x14ac:dyDescent="0.2">
      <c r="A142" s="4" t="s">
        <v>38</v>
      </c>
      <c r="B142" s="10">
        <v>4670</v>
      </c>
      <c r="C142" s="6">
        <v>4919</v>
      </c>
      <c r="D142" s="6">
        <v>5218</v>
      </c>
      <c r="E142" s="6">
        <v>5490</v>
      </c>
      <c r="F142" s="6">
        <v>5800</v>
      </c>
    </row>
    <row r="143" spans="1:6" x14ac:dyDescent="0.2">
      <c r="A143" s="4" t="s">
        <v>39</v>
      </c>
      <c r="B143" s="8">
        <v>-122</v>
      </c>
      <c r="C143" s="6">
        <v>-76</v>
      </c>
      <c r="D143" s="6">
        <v>-1121</v>
      </c>
      <c r="E143" s="6">
        <v>-1099</v>
      </c>
      <c r="F143" s="6">
        <v>-1014</v>
      </c>
    </row>
    <row r="144" spans="1:6" x14ac:dyDescent="0.2">
      <c r="A144" s="4" t="s">
        <v>40</v>
      </c>
      <c r="B144" s="10">
        <v>6283</v>
      </c>
      <c r="C144" s="6">
        <v>7458</v>
      </c>
      <c r="D144" s="6">
        <v>6518</v>
      </c>
      <c r="E144" s="6">
        <v>7686</v>
      </c>
      <c r="F144" s="6">
        <v>5988</v>
      </c>
    </row>
    <row r="145" spans="1:6" x14ac:dyDescent="0.2">
      <c r="A145" s="4" t="s">
        <v>41</v>
      </c>
      <c r="B145" s="10">
        <v>10833</v>
      </c>
      <c r="C145" s="6">
        <v>12303</v>
      </c>
      <c r="D145" s="6">
        <v>10617</v>
      </c>
      <c r="E145" s="6">
        <v>12079</v>
      </c>
      <c r="F145" s="6">
        <v>10778</v>
      </c>
    </row>
    <row r="146" spans="1:6" x14ac:dyDescent="0.2">
      <c r="A146" s="4" t="s">
        <v>42</v>
      </c>
      <c r="B146" s="8">
        <v>179</v>
      </c>
      <c r="C146" s="6">
        <v>212</v>
      </c>
      <c r="D146" s="6">
        <v>226</v>
      </c>
      <c r="E146" s="6">
        <v>253</v>
      </c>
      <c r="F146" s="6">
        <v>301</v>
      </c>
    </row>
    <row r="147" spans="1:6" x14ac:dyDescent="0.2">
      <c r="A147" s="4" t="s">
        <v>43</v>
      </c>
      <c r="B147" s="10">
        <v>11012</v>
      </c>
      <c r="C147" s="6">
        <v>12515</v>
      </c>
      <c r="D147" s="6">
        <v>10843</v>
      </c>
      <c r="E147" s="6">
        <v>12332</v>
      </c>
      <c r="F147" s="6">
        <v>11079</v>
      </c>
    </row>
    <row r="148" spans="1:6" x14ac:dyDescent="0.2">
      <c r="A148" s="4" t="s">
        <v>108</v>
      </c>
      <c r="B148" s="10">
        <f>SUM(B142,B143,B144,B146,B141)</f>
        <v>11012</v>
      </c>
      <c r="C148" s="10">
        <f t="shared" ref="C148:E148" si="49">SUM(C142,C143,C144,C146,C141)</f>
        <v>12515</v>
      </c>
      <c r="D148" s="10">
        <f t="shared" si="49"/>
        <v>10843</v>
      </c>
      <c r="E148" s="10">
        <f t="shared" si="49"/>
        <v>12332</v>
      </c>
      <c r="F148" s="10">
        <f>SUM(F142,F143,F144,F146,F141)</f>
        <v>11079</v>
      </c>
    </row>
    <row r="149" spans="1:6" x14ac:dyDescent="0.2">
      <c r="A149" s="14" t="s">
        <v>105</v>
      </c>
      <c r="B149" s="15" t="b">
        <f>B148=B147</f>
        <v>1</v>
      </c>
      <c r="C149" s="15" t="b">
        <f t="shared" ref="C149:F149" si="50">C148=C147</f>
        <v>1</v>
      </c>
      <c r="D149" s="15" t="b">
        <f t="shared" si="50"/>
        <v>1</v>
      </c>
      <c r="E149" s="15" t="b">
        <f t="shared" si="50"/>
        <v>1</v>
      </c>
      <c r="F149" s="15" t="b">
        <f t="shared" si="50"/>
        <v>1</v>
      </c>
    </row>
    <row r="150" spans="1:6" x14ac:dyDescent="0.2">
      <c r="A150" s="4" t="s">
        <v>44</v>
      </c>
      <c r="B150" s="9">
        <v>30283</v>
      </c>
      <c r="C150" s="5">
        <v>33024</v>
      </c>
      <c r="D150" s="5">
        <v>33017</v>
      </c>
      <c r="E150" s="5">
        <v>33163</v>
      </c>
      <c r="F150" s="6">
        <v>36347</v>
      </c>
    </row>
    <row r="151" spans="1:6" x14ac:dyDescent="0.2">
      <c r="A151" s="4" t="s">
        <v>109</v>
      </c>
      <c r="B151" s="17">
        <f>SUM(B148,B137)</f>
        <v>30283</v>
      </c>
      <c r="C151" s="17">
        <f t="shared" ref="C151:E151" si="51">SUM(C148,C137)</f>
        <v>33024</v>
      </c>
      <c r="D151" s="17">
        <f t="shared" si="51"/>
        <v>33017</v>
      </c>
      <c r="E151" s="17">
        <f t="shared" si="51"/>
        <v>33163</v>
      </c>
      <c r="F151" s="17">
        <f>SUM(F148,F137)</f>
        <v>36347</v>
      </c>
    </row>
    <row r="152" spans="1:6" x14ac:dyDescent="0.2">
      <c r="A152" s="14" t="s">
        <v>105</v>
      </c>
      <c r="B152" s="15" t="b">
        <f>B151=B150</f>
        <v>1</v>
      </c>
      <c r="C152" s="15" t="b">
        <f t="shared" ref="C152:F152" si="52">C151=C150</f>
        <v>1</v>
      </c>
      <c r="D152" s="15" t="b">
        <f t="shared" si="52"/>
        <v>1</v>
      </c>
      <c r="E152" s="15" t="b">
        <f t="shared" si="52"/>
        <v>1</v>
      </c>
      <c r="F152" s="15" t="b">
        <f t="shared" si="52"/>
        <v>1</v>
      </c>
    </row>
  </sheetData>
  <mergeCells count="2">
    <mergeCell ref="A60:E60"/>
    <mergeCell ref="A99:E99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VD!B36:F36</xm:f>
              <xm:sqref>J36</xm:sqref>
            </x14:sparkline>
            <x14:sparkline>
              <xm:f>VD!B37:F37</xm:f>
              <xm:sqref>J37</xm:sqref>
            </x14:sparkline>
            <x14:sparkline>
              <xm:f>VD!B38:F38</xm:f>
              <xm:sqref>J38</xm:sqref>
            </x14:sparkline>
            <x14:sparkline>
              <xm:f>VD!B39:F39</xm:f>
              <xm:sqref>J39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VD!C43:F43</xm:f>
              <xm:sqref>J43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VD!C23:F23</xm:f>
              <xm:sqref>I23</xm:sqref>
            </x14:sparkline>
            <x14:sparkline>
              <xm:f>VD!C24:F24</xm:f>
              <xm:sqref>I24</xm:sqref>
            </x14:sparkline>
            <x14:sparkline>
              <xm:f>VD!C25:F25</xm:f>
              <xm:sqref>I25</xm:sqref>
            </x14:sparkline>
            <x14:sparkline>
              <xm:f>VD!C26:F26</xm:f>
              <xm:sqref>I26</xm:sqref>
            </x14:sparkline>
            <x14:sparkline>
              <xm:f>VD!C27:F27</xm:f>
              <xm:sqref>I27</xm:sqref>
            </x14:sparkline>
            <x14:sparkline>
              <xm:f>VD!C28:F28</xm:f>
              <xm:sqref>I28</xm:sqref>
            </x14:sparkline>
            <x14:sparkline>
              <xm:f>VD!C29:F29</xm:f>
              <xm:sqref>I29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VD!C20:F20</xm:f>
              <xm:sqref>I20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VD!C16:F16</xm:f>
              <xm:sqref>I16</xm:sqref>
            </x14:sparkline>
            <x14:sparkline>
              <xm:f>VD!C17:F17</xm:f>
              <xm:sqref>I17</xm:sqref>
            </x14:sparkline>
            <x14:sparkline>
              <xm:f>VD!C18:F18</xm:f>
              <xm:sqref>I18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VD!C13:F13</xm:f>
              <xm:sqref>I13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opLeftCell="A65" zoomScale="75" zoomScaleNormal="55" zoomScalePageLayoutView="55" workbookViewId="0">
      <selection activeCell="H16" sqref="H16"/>
    </sheetView>
  </sheetViews>
  <sheetFormatPr baseColWidth="10" defaultColWidth="11.5" defaultRowHeight="15" x14ac:dyDescent="0.2"/>
  <cols>
    <col min="1" max="1" width="48" bestFit="1" customWidth="1"/>
    <col min="3" max="3" width="12.33203125" bestFit="1" customWidth="1"/>
  </cols>
  <sheetData>
    <row r="1" spans="1:15" x14ac:dyDescent="0.2">
      <c r="A1" s="1" t="s">
        <v>3</v>
      </c>
    </row>
    <row r="2" spans="1:15" x14ac:dyDescent="0.2">
      <c r="A2" s="1" t="s">
        <v>2</v>
      </c>
    </row>
    <row r="3" spans="1:15" x14ac:dyDescent="0.2">
      <c r="A3" s="1" t="s">
        <v>196</v>
      </c>
    </row>
    <row r="4" spans="1:15" x14ac:dyDescent="0.2">
      <c r="A4" s="1" t="s">
        <v>117</v>
      </c>
    </row>
    <row r="5" spans="1:15" ht="16" thickBot="1" x14ac:dyDescent="0.25">
      <c r="A5" s="1" t="s">
        <v>1</v>
      </c>
      <c r="G5" s="279" t="s">
        <v>173</v>
      </c>
      <c r="H5" s="279"/>
      <c r="I5" s="279"/>
    </row>
    <row r="6" spans="1:15" x14ac:dyDescent="0.2">
      <c r="G6" s="90" t="s">
        <v>174</v>
      </c>
      <c r="H6" s="160"/>
      <c r="I6" s="210">
        <v>0.1</v>
      </c>
    </row>
    <row r="7" spans="1:15" ht="16" thickBot="1" x14ac:dyDescent="0.25">
      <c r="A7" s="282" t="s">
        <v>102</v>
      </c>
      <c r="B7" s="282"/>
      <c r="C7" s="282"/>
      <c r="D7" s="282"/>
      <c r="E7" s="282"/>
      <c r="G7" s="92" t="s">
        <v>175</v>
      </c>
      <c r="H7" s="37"/>
      <c r="I7" s="269">
        <v>8.7999999999999995E-2</v>
      </c>
    </row>
    <row r="8" spans="1:15" ht="16" thickBot="1" x14ac:dyDescent="0.25">
      <c r="A8" s="116" t="s">
        <v>154</v>
      </c>
      <c r="B8" s="117" t="s">
        <v>87</v>
      </c>
      <c r="C8" s="117" t="s">
        <v>84</v>
      </c>
      <c r="D8" s="117" t="s">
        <v>85</v>
      </c>
      <c r="E8" s="118" t="s">
        <v>149</v>
      </c>
      <c r="G8" s="157" t="s">
        <v>176</v>
      </c>
      <c r="H8" s="172"/>
      <c r="I8" s="207">
        <v>1.4999999999999999E-2</v>
      </c>
    </row>
    <row r="9" spans="1:15" x14ac:dyDescent="0.2">
      <c r="A9" s="92" t="str">
        <f>RG!A12</f>
        <v>United States Operations</v>
      </c>
      <c r="B9" s="93">
        <f>C9</f>
        <v>5.6250585510557283E-2</v>
      </c>
      <c r="C9" s="93">
        <f>RG!G13</f>
        <v>5.6250585510557283E-2</v>
      </c>
      <c r="D9" s="93">
        <f>RG!H13</f>
        <v>1.9834015703874136E-2</v>
      </c>
      <c r="E9" s="156"/>
    </row>
    <row r="10" spans="1:15" x14ac:dyDescent="0.2">
      <c r="A10" s="92" t="str">
        <f>RG!A15</f>
        <v>Canadian Operations</v>
      </c>
      <c r="B10" s="93">
        <f t="shared" ref="B10:B11" si="0">C10</f>
        <v>2.3867057644578915E-2</v>
      </c>
      <c r="C10" s="93">
        <f>RG!G16</f>
        <v>2.3867057644578915E-2</v>
      </c>
      <c r="D10" s="93">
        <f>RG!H16</f>
        <v>4.1305847320745104E-2</v>
      </c>
      <c r="E10" s="156"/>
    </row>
    <row r="11" spans="1:15" ht="16" thickBot="1" x14ac:dyDescent="0.25">
      <c r="A11" s="167" t="str">
        <f>RG!A18</f>
        <v>Other International Operations</v>
      </c>
      <c r="B11" s="168">
        <f t="shared" si="0"/>
        <v>7.0898597572781275E-2</v>
      </c>
      <c r="C11" s="168">
        <f>RG!G19</f>
        <v>7.0898597572781275E-2</v>
      </c>
      <c r="D11" s="168">
        <f>RG!H19</f>
        <v>6.3340694872701109E-2</v>
      </c>
      <c r="E11" s="169"/>
      <c r="G11" s="279" t="s">
        <v>127</v>
      </c>
      <c r="H11" s="279"/>
      <c r="I11" s="279"/>
      <c r="J11" s="279"/>
      <c r="K11" s="279"/>
      <c r="L11" s="279"/>
      <c r="M11" s="279"/>
      <c r="N11" s="279"/>
      <c r="O11" s="279"/>
    </row>
    <row r="12" spans="1:15" x14ac:dyDescent="0.2">
      <c r="A12" s="36" t="s">
        <v>155</v>
      </c>
      <c r="B12" s="37"/>
      <c r="C12" s="37"/>
      <c r="D12" s="37"/>
      <c r="E12" s="156"/>
      <c r="G12" s="90"/>
      <c r="H12" s="276" t="s">
        <v>181</v>
      </c>
      <c r="I12" s="276"/>
      <c r="J12" s="276"/>
      <c r="K12" s="277"/>
      <c r="L12" s="276" t="s">
        <v>182</v>
      </c>
      <c r="M12" s="276"/>
      <c r="N12" s="276"/>
      <c r="O12" s="278"/>
    </row>
    <row r="13" spans="1:15" x14ac:dyDescent="0.2">
      <c r="A13" s="92" t="str">
        <f>VD!A16</f>
        <v>Merchandise costs, Net D&amp;A</v>
      </c>
      <c r="B13" s="93">
        <f>C13</f>
        <v>0.86062483623861596</v>
      </c>
      <c r="C13" s="93">
        <f>VD!G16</f>
        <v>0.86062483623861596</v>
      </c>
      <c r="D13" s="93">
        <f>VD!H16</f>
        <v>4.3725479093434808E-3</v>
      </c>
      <c r="E13" s="156"/>
      <c r="G13" s="92"/>
      <c r="H13" s="37" t="s">
        <v>151</v>
      </c>
      <c r="I13" s="37" t="s">
        <v>152</v>
      </c>
      <c r="J13" s="37" t="s">
        <v>153</v>
      </c>
      <c r="K13" s="208" t="s">
        <v>149</v>
      </c>
      <c r="L13" s="37" t="s">
        <v>151</v>
      </c>
      <c r="M13" s="37" t="s">
        <v>152</v>
      </c>
      <c r="N13" s="37" t="s">
        <v>153</v>
      </c>
      <c r="O13" s="156" t="s">
        <v>149</v>
      </c>
    </row>
    <row r="14" spans="1:15" x14ac:dyDescent="0.2">
      <c r="A14" s="92" t="str">
        <f>VD!A17</f>
        <v>Selling, general and administrative</v>
      </c>
      <c r="B14" s="93">
        <f t="shared" ref="B14:B24" si="1">C14</f>
        <v>9.8672034459918651E-2</v>
      </c>
      <c r="C14" s="93">
        <f>VD!G17</f>
        <v>9.8672034459918651E-2</v>
      </c>
      <c r="D14" s="93">
        <f>VD!H17</f>
        <v>2.4857719296725654E-3</v>
      </c>
      <c r="E14" s="156"/>
      <c r="G14" s="92" t="s">
        <v>183</v>
      </c>
      <c r="H14" s="93">
        <f>MIN(C109:L109)</f>
        <v>5.5541969840530128E-2</v>
      </c>
      <c r="I14" s="93">
        <f>AVERAGE(C109:L109)</f>
        <v>5.6689984815781837E-2</v>
      </c>
      <c r="J14" s="93">
        <f>MAX(C109:L109)</f>
        <v>5.7289992338661985E-2</v>
      </c>
      <c r="K14" s="208"/>
      <c r="L14" s="93">
        <f>VD!G36</f>
        <v>0.10232188137025738</v>
      </c>
      <c r="M14" s="93">
        <f>VD!H36</f>
        <v>0.10976371184952208</v>
      </c>
      <c r="N14" s="93">
        <f>VD!I36</f>
        <v>0.1244307176883209</v>
      </c>
      <c r="O14" s="156"/>
    </row>
    <row r="15" spans="1:15" x14ac:dyDescent="0.2">
      <c r="A15" s="167" t="str">
        <f>VD!A18</f>
        <v>Preopening expenses</v>
      </c>
      <c r="B15" s="168">
        <f t="shared" si="1"/>
        <v>5.7924645256212759E-4</v>
      </c>
      <c r="C15" s="168">
        <f>VD!G18</f>
        <v>5.7924645256212759E-4</v>
      </c>
      <c r="D15" s="168">
        <f>VD!H18</f>
        <v>7.05487067068761E-5</v>
      </c>
      <c r="E15" s="169"/>
      <c r="G15" s="92" t="s">
        <v>184</v>
      </c>
      <c r="H15" s="93">
        <f t="shared" ref="H15:H17" si="2">MIN(C110:L110)</f>
        <v>1.0019534713272446E-2</v>
      </c>
      <c r="I15" s="93">
        <f t="shared" ref="I15:I17" si="3">AVERAGE(C110:L110)</f>
        <v>1.0113397706046877E-2</v>
      </c>
      <c r="J15" s="93">
        <f t="shared" ref="J15:J17" si="4">MAX(C110:L110)</f>
        <v>1.0207335629125217E-2</v>
      </c>
      <c r="K15" s="208"/>
      <c r="L15" s="93">
        <f>VD!G37</f>
        <v>1.8270596590908975E-2</v>
      </c>
      <c r="M15" s="93">
        <f>VD!H37</f>
        <v>1.9477940795130884E-2</v>
      </c>
      <c r="N15" s="93">
        <f>VD!I37</f>
        <v>2.0456286198676357E-2</v>
      </c>
      <c r="O15" s="156"/>
    </row>
    <row r="16" spans="1:15" x14ac:dyDescent="0.2">
      <c r="A16" s="36" t="s">
        <v>120</v>
      </c>
      <c r="B16" s="37"/>
      <c r="C16" s="37"/>
      <c r="D16" s="37"/>
      <c r="E16" s="156"/>
      <c r="G16" s="92" t="s">
        <v>185</v>
      </c>
      <c r="H16" s="93">
        <f t="shared" si="2"/>
        <v>0.20728004789782001</v>
      </c>
      <c r="I16" s="93">
        <f t="shared" si="3"/>
        <v>0.22355550573667776</v>
      </c>
      <c r="J16" s="93">
        <f t="shared" si="4"/>
        <v>0.23735472548779232</v>
      </c>
      <c r="K16" s="208"/>
      <c r="L16" s="93">
        <f>VD!G38</f>
        <v>0.19991251093613299</v>
      </c>
      <c r="M16" s="93">
        <f>VD!H38</f>
        <v>0.20631985262914473</v>
      </c>
      <c r="N16" s="93">
        <f>VD!I38</f>
        <v>0.22041122314035663</v>
      </c>
      <c r="O16" s="156"/>
    </row>
    <row r="17" spans="1:17" ht="16" thickBot="1" x14ac:dyDescent="0.25">
      <c r="A17" s="92" t="str">
        <f>VD!A23</f>
        <v>Interest expense as % of Total Debt</v>
      </c>
      <c r="B17" s="93">
        <f t="shared" si="1"/>
        <v>2.1620095844034161E-2</v>
      </c>
      <c r="C17" s="93">
        <f>VD!G23</f>
        <v>2.1620095844034161E-2</v>
      </c>
      <c r="D17" s="93">
        <f>VD!H23</f>
        <v>2.7234702076473546E-3</v>
      </c>
      <c r="E17" s="156"/>
      <c r="G17" s="157" t="s">
        <v>186</v>
      </c>
      <c r="H17" s="158">
        <f t="shared" si="2"/>
        <v>1.1851919970189035</v>
      </c>
      <c r="I17" s="158">
        <f t="shared" si="3"/>
        <v>1.2525776227216443</v>
      </c>
      <c r="J17" s="158">
        <f t="shared" si="4"/>
        <v>1.309936214412337</v>
      </c>
      <c r="K17" s="209"/>
      <c r="L17" s="158">
        <f>VD!G39</f>
        <v>1.1086967986920522</v>
      </c>
      <c r="M17" s="158">
        <f>VD!H39</f>
        <v>1.1603476559923596</v>
      </c>
      <c r="N17" s="158">
        <f>VD!I39</f>
        <v>1.2387583102130555</v>
      </c>
      <c r="O17" s="159"/>
    </row>
    <row r="18" spans="1:17" ht="16" thickBot="1" x14ac:dyDescent="0.25">
      <c r="A18" s="92" t="str">
        <f>VD!A24</f>
        <v>Interest income and other, net as % of Rev</v>
      </c>
      <c r="B18" s="93">
        <f t="shared" si="1"/>
        <v>-7.5416963722480662E-4</v>
      </c>
      <c r="C18" s="93">
        <f>VD!G24</f>
        <v>-7.5416963722480662E-4</v>
      </c>
      <c r="D18" s="93">
        <f>VD!H24</f>
        <v>1.1238653145296337E-4</v>
      </c>
      <c r="E18" s="156"/>
      <c r="G18" s="203" t="s">
        <v>187</v>
      </c>
      <c r="H18" s="206">
        <f>L94/C98</f>
        <v>0.48511634452421754</v>
      </c>
    </row>
    <row r="19" spans="1:17" x14ac:dyDescent="0.2">
      <c r="A19" s="92" t="str">
        <f>VD!A25</f>
        <v>Depreciation &amp; Amortization as % of Rev</v>
      </c>
      <c r="B19" s="93">
        <f t="shared" si="1"/>
        <v>9.8039225974732337E-3</v>
      </c>
      <c r="C19" s="93">
        <f>VD!G25</f>
        <v>9.8039225974732337E-3</v>
      </c>
      <c r="D19" s="93">
        <f>VD!H25</f>
        <v>7.1496877963147371E-4</v>
      </c>
      <c r="E19" s="156"/>
    </row>
    <row r="20" spans="1:17" x14ac:dyDescent="0.2">
      <c r="A20" s="92" t="str">
        <f>VD!A28</f>
        <v>Provision for income taxes (as % of EBT)</v>
      </c>
      <c r="B20" s="93">
        <f t="shared" si="1"/>
        <v>0.3348928106324055</v>
      </c>
      <c r="C20" s="93">
        <f>VD!G28</f>
        <v>0.3348928106324055</v>
      </c>
      <c r="D20" s="93">
        <f>VD!H28</f>
        <v>1.0408472966511508E-2</v>
      </c>
      <c r="E20" s="156"/>
    </row>
    <row r="21" spans="1:17" ht="16" thickBot="1" x14ac:dyDescent="0.25">
      <c r="A21" s="167" t="str">
        <f>VD!A29</f>
        <v>Net income attributable to noncontrolling interests as % of Rev</v>
      </c>
      <c r="B21" s="168">
        <f t="shared" si="1"/>
        <v>2.4824152763800638E-4</v>
      </c>
      <c r="C21" s="168">
        <f>VD!G29</f>
        <v>2.4824152763800638E-4</v>
      </c>
      <c r="D21" s="168">
        <f>VD!H29</f>
        <v>3.3215998262595775E-5</v>
      </c>
      <c r="E21" s="169"/>
      <c r="O21" s="275" t="s">
        <v>177</v>
      </c>
      <c r="P21" s="275"/>
      <c r="Q21" s="275"/>
    </row>
    <row r="22" spans="1:17" x14ac:dyDescent="0.2">
      <c r="A22" s="36" t="s">
        <v>124</v>
      </c>
      <c r="B22" s="37"/>
      <c r="C22" s="37"/>
      <c r="D22" s="37"/>
      <c r="E22" s="156"/>
      <c r="O22" s="90" t="s">
        <v>178</v>
      </c>
      <c r="P22" s="160"/>
      <c r="Q22" s="236">
        <f>C102</f>
        <v>49.618709731001523</v>
      </c>
    </row>
    <row r="23" spans="1:17" x14ac:dyDescent="0.2">
      <c r="A23" s="92" t="str">
        <f>VD!A32</f>
        <v>Change in Working Capital</v>
      </c>
      <c r="B23" s="93">
        <f t="shared" si="1"/>
        <v>-4.9006206424397963E-3</v>
      </c>
      <c r="C23" s="93">
        <f>VD!G32</f>
        <v>-4.9006206424397963E-3</v>
      </c>
      <c r="D23" s="93">
        <f>VD!H32</f>
        <v>1.2082579974031019E-2</v>
      </c>
      <c r="E23" s="156"/>
      <c r="O23" s="92" t="s">
        <v>179</v>
      </c>
      <c r="P23" s="37"/>
      <c r="Q23" s="156">
        <v>157.49</v>
      </c>
    </row>
    <row r="24" spans="1:17" ht="16" thickBot="1" x14ac:dyDescent="0.25">
      <c r="A24" s="157" t="str">
        <f>VD!A33</f>
        <v>Capital Expenditures (CAPEX)</v>
      </c>
      <c r="B24" s="158">
        <f t="shared" si="1"/>
        <v>2.4558362706981533E-2</v>
      </c>
      <c r="C24" s="158">
        <f>VD!G33</f>
        <v>2.4558362706981533E-2</v>
      </c>
      <c r="D24" s="158">
        <f>VD!H33</f>
        <v>6.7533592350091627E-3</v>
      </c>
      <c r="E24" s="159"/>
      <c r="O24" s="157" t="s">
        <v>180</v>
      </c>
      <c r="P24" s="172"/>
      <c r="Q24" s="207">
        <f>Q22/Q23-1</f>
        <v>-0.68494056936312453</v>
      </c>
    </row>
    <row r="25" spans="1:17" x14ac:dyDescent="0.2">
      <c r="A25" s="164" t="s">
        <v>156</v>
      </c>
      <c r="B25" s="165" t="s">
        <v>87</v>
      </c>
      <c r="C25" s="165" t="s">
        <v>151</v>
      </c>
      <c r="D25" s="165" t="s">
        <v>152</v>
      </c>
      <c r="E25" s="166" t="s">
        <v>153</v>
      </c>
    </row>
    <row r="26" spans="1:17" ht="16" thickBot="1" x14ac:dyDescent="0.25">
      <c r="A26" s="162" t="s">
        <v>157</v>
      </c>
      <c r="B26" s="170">
        <v>1</v>
      </c>
      <c r="C26" s="163">
        <f>VD!G43</f>
        <v>0.87839303492362009</v>
      </c>
      <c r="D26" s="163">
        <f>VD!H43</f>
        <v>2.1085940280334432</v>
      </c>
      <c r="E26" s="171">
        <f>VD!I43</f>
        <v>3.7392253543153839</v>
      </c>
    </row>
    <row r="35" spans="1:13" ht="16" thickBot="1" x14ac:dyDescent="0.25">
      <c r="A35" s="281" t="s">
        <v>195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</row>
    <row r="36" spans="1:13" x14ac:dyDescent="0.2">
      <c r="A36" s="173" t="s">
        <v>158</v>
      </c>
      <c r="B36" s="174"/>
      <c r="C36" s="175">
        <v>1</v>
      </c>
      <c r="D36" s="174">
        <v>2</v>
      </c>
      <c r="E36" s="174">
        <v>3</v>
      </c>
      <c r="F36" s="174">
        <v>4</v>
      </c>
      <c r="G36" s="174">
        <v>5</v>
      </c>
      <c r="H36" s="174">
        <v>6</v>
      </c>
      <c r="I36" s="174">
        <v>7</v>
      </c>
      <c r="J36" s="174">
        <v>8</v>
      </c>
      <c r="K36" s="174">
        <v>9</v>
      </c>
      <c r="L36" s="176">
        <v>10</v>
      </c>
    </row>
    <row r="37" spans="1:13" ht="16" thickBot="1" x14ac:dyDescent="0.25">
      <c r="A37" s="177" t="s">
        <v>89</v>
      </c>
      <c r="B37" s="178">
        <v>2017</v>
      </c>
      <c r="C37" s="179" t="s">
        <v>91</v>
      </c>
      <c r="D37" s="180" t="s">
        <v>92</v>
      </c>
      <c r="E37" s="180" t="s">
        <v>93</v>
      </c>
      <c r="F37" s="180" t="s">
        <v>94</v>
      </c>
      <c r="G37" s="180" t="s">
        <v>95</v>
      </c>
      <c r="H37" s="180" t="s">
        <v>96</v>
      </c>
      <c r="I37" s="180" t="s">
        <v>97</v>
      </c>
      <c r="J37" s="180" t="s">
        <v>98</v>
      </c>
      <c r="K37" s="180" t="s">
        <v>99</v>
      </c>
      <c r="L37" s="181" t="s">
        <v>100</v>
      </c>
    </row>
    <row r="38" spans="1:13" x14ac:dyDescent="0.2">
      <c r="C38" s="12"/>
      <c r="M38" s="60" t="s">
        <v>148</v>
      </c>
    </row>
    <row r="39" spans="1:13" x14ac:dyDescent="0.2">
      <c r="A39" s="11" t="s">
        <v>159</v>
      </c>
      <c r="B39">
        <f>SUM(B43,B47,B51)</f>
        <v>129025</v>
      </c>
      <c r="C39" s="127">
        <f>SUM(C43,C47,C51)</f>
        <v>135914.38718516595</v>
      </c>
      <c r="D39" s="126">
        <f t="shared" ref="D39:L39" si="5">SUM(D43,D47,D51)</f>
        <v>143193.78652788696</v>
      </c>
      <c r="E39" s="126">
        <f t="shared" si="5"/>
        <v>150885.9947591557</v>
      </c>
      <c r="F39" s="126">
        <f t="shared" si="5"/>
        <v>159015.16808190235</v>
      </c>
      <c r="G39" s="126">
        <f t="shared" si="5"/>
        <v>167606.90450014774</v>
      </c>
      <c r="H39" s="126">
        <f t="shared" si="5"/>
        <v>176688.33120382627</v>
      </c>
      <c r="I39" s="126">
        <f t="shared" si="5"/>
        <v>186288.19732398906</v>
      </c>
      <c r="J39" s="126">
        <f t="shared" si="5"/>
        <v>196436.97239295489</v>
      </c>
      <c r="K39" s="126">
        <f t="shared" si="5"/>
        <v>207166.95086510447</v>
      </c>
      <c r="L39" s="126">
        <f t="shared" si="5"/>
        <v>218512.36307649428</v>
      </c>
      <c r="M39" s="48"/>
    </row>
    <row r="40" spans="1:13" x14ac:dyDescent="0.2">
      <c r="A40" s="134" t="s">
        <v>160</v>
      </c>
      <c r="B40" s="134"/>
      <c r="C40" s="32">
        <f>C39/B39-1</f>
        <v>5.3395754196209566E-2</v>
      </c>
      <c r="D40" s="137">
        <f t="shared" ref="D40:L40" si="6">D39/C39-1</f>
        <v>5.355871069634266E-2</v>
      </c>
      <c r="E40" s="137">
        <f t="shared" si="6"/>
        <v>5.3718868798616981E-2</v>
      </c>
      <c r="F40" s="137">
        <f t="shared" si="6"/>
        <v>5.3876261582278984E-2</v>
      </c>
      <c r="G40" s="137">
        <f t="shared" si="6"/>
        <v>5.4030923728107139E-2</v>
      </c>
      <c r="H40" s="137">
        <f t="shared" si="6"/>
        <v>5.4182891395566202E-2</v>
      </c>
      <c r="I40" s="137">
        <f t="shared" si="6"/>
        <v>5.4332202102743699E-2</v>
      </c>
      <c r="J40" s="137">
        <f t="shared" si="6"/>
        <v>5.4478894609277129E-2</v>
      </c>
      <c r="K40" s="137">
        <f t="shared" si="6"/>
        <v>5.4623008802463069E-2</v>
      </c>
      <c r="L40" s="137">
        <f t="shared" si="6"/>
        <v>5.4764585586710268E-2</v>
      </c>
      <c r="M40" s="49">
        <f>VD!H13</f>
        <v>2.6181836462256285E-2</v>
      </c>
    </row>
    <row r="41" spans="1:13" x14ac:dyDescent="0.2">
      <c r="C41" s="12"/>
      <c r="M41" s="48"/>
    </row>
    <row r="42" spans="1:13" x14ac:dyDescent="0.2">
      <c r="A42" s="11" t="s">
        <v>161</v>
      </c>
      <c r="C42" s="12"/>
      <c r="M42" s="48"/>
    </row>
    <row r="43" spans="1:13" x14ac:dyDescent="0.2">
      <c r="A43" s="131" t="str">
        <f>A9</f>
        <v>United States Operations</v>
      </c>
      <c r="B43" s="131">
        <f>RG!B28</f>
        <v>93889</v>
      </c>
      <c r="C43" s="143">
        <f>B43*(1+C44)</f>
        <v>99170.31122300071</v>
      </c>
      <c r="D43" s="144">
        <f t="shared" ref="D43:L43" si="7">C43*(1+D44)</f>
        <v>104748.6992945587</v>
      </c>
      <c r="E43" s="144">
        <f t="shared" si="7"/>
        <v>110640.87496134693</v>
      </c>
      <c r="F43" s="144">
        <f t="shared" si="7"/>
        <v>116864.48895932305</v>
      </c>
      <c r="G43" s="144">
        <f t="shared" si="7"/>
        <v>123438.18488867703</v>
      </c>
      <c r="H43" s="144">
        <f t="shared" si="7"/>
        <v>130381.65506302554</v>
      </c>
      <c r="I43" s="144">
        <f t="shared" si="7"/>
        <v>137715.69950015625</v>
      </c>
      <c r="J43" s="144">
        <f t="shared" si="7"/>
        <v>145462.28823103599</v>
      </c>
      <c r="K43" s="144">
        <f t="shared" si="7"/>
        <v>153644.6271137372</v>
      </c>
      <c r="L43" s="144">
        <f t="shared" si="7"/>
        <v>162287.22734943614</v>
      </c>
      <c r="M43" s="48"/>
    </row>
    <row r="44" spans="1:13" x14ac:dyDescent="0.2">
      <c r="A44" s="30" t="s">
        <v>160</v>
      </c>
      <c r="B44" s="30"/>
      <c r="C44" s="32">
        <f>B9</f>
        <v>5.6250585510557283E-2</v>
      </c>
      <c r="D44" s="33">
        <f>C44</f>
        <v>5.6250585510557283E-2</v>
      </c>
      <c r="E44" s="33">
        <f t="shared" ref="E44:L44" si="8">D44</f>
        <v>5.6250585510557283E-2</v>
      </c>
      <c r="F44" s="33">
        <f t="shared" si="8"/>
        <v>5.6250585510557283E-2</v>
      </c>
      <c r="G44" s="33">
        <f t="shared" si="8"/>
        <v>5.6250585510557283E-2</v>
      </c>
      <c r="H44" s="33">
        <f t="shared" si="8"/>
        <v>5.6250585510557283E-2</v>
      </c>
      <c r="I44" s="33">
        <f t="shared" si="8"/>
        <v>5.6250585510557283E-2</v>
      </c>
      <c r="J44" s="33">
        <f t="shared" si="8"/>
        <v>5.6250585510557283E-2</v>
      </c>
      <c r="K44" s="33">
        <f t="shared" si="8"/>
        <v>5.6250585510557283E-2</v>
      </c>
      <c r="L44" s="33">
        <f t="shared" si="8"/>
        <v>5.6250585510557283E-2</v>
      </c>
      <c r="M44" s="49">
        <f>D9</f>
        <v>1.9834015703874136E-2</v>
      </c>
    </row>
    <row r="45" spans="1:13" x14ac:dyDescent="0.2">
      <c r="A45" s="30" t="s">
        <v>168</v>
      </c>
      <c r="B45" s="30"/>
      <c r="C45" s="32">
        <f>C43/C39</f>
        <v>0.72965278567524905</v>
      </c>
      <c r="D45" s="33">
        <f t="shared" ref="D45:L45" si="9">D43/D39</f>
        <v>0.73151707091814988</v>
      </c>
      <c r="E45" s="33">
        <f t="shared" si="9"/>
        <v>0.73327464976422729</v>
      </c>
      <c r="F45" s="33">
        <f t="shared" si="9"/>
        <v>0.73492667629751418</v>
      </c>
      <c r="G45" s="33">
        <f t="shared" si="9"/>
        <v>0.73647434308750825</v>
      </c>
      <c r="H45" s="33">
        <f t="shared" si="9"/>
        <v>0.73791887769101339</v>
      </c>
      <c r="I45" s="33">
        <f t="shared" si="9"/>
        <v>0.73926153926243432</v>
      </c>
      <c r="J45" s="33">
        <f t="shared" si="9"/>
        <v>0.74050361527692188</v>
      </c>
      <c r="K45" s="33">
        <f t="shared" si="9"/>
        <v>0.74164641836999368</v>
      </c>
      <c r="L45" s="33">
        <f t="shared" si="9"/>
        <v>0.74269128329651768</v>
      </c>
      <c r="M45" s="48"/>
    </row>
    <row r="46" spans="1:13" x14ac:dyDescent="0.2">
      <c r="A46" s="13"/>
      <c r="B46" s="13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48"/>
    </row>
    <row r="47" spans="1:13" x14ac:dyDescent="0.2">
      <c r="A47" s="13" t="str">
        <f>A10</f>
        <v>Canadian Operations</v>
      </c>
      <c r="B47" s="13">
        <f>RG!B31</f>
        <v>18775</v>
      </c>
      <c r="C47" s="127">
        <f>B47*(1+C48)</f>
        <v>19223.104007276972</v>
      </c>
      <c r="D47" s="149">
        <f t="shared" ref="D47" si="10">C47*(1+D48)</f>
        <v>19681.902938726387</v>
      </c>
      <c r="E47" s="149">
        <f t="shared" ref="E47" si="11">D47*(1+E48)</f>
        <v>20151.652050719978</v>
      </c>
      <c r="F47" s="149">
        <f t="shared" ref="F47" si="12">E47*(1+F48)</f>
        <v>20632.612691848011</v>
      </c>
      <c r="G47" s="149">
        <f t="shared" ref="G47" si="13">F47*(1+G48)</f>
        <v>21125.052448322618</v>
      </c>
      <c r="H47" s="149">
        <f t="shared" ref="H47" si="14">G47*(1+H48)</f>
        <v>21629.245292851487</v>
      </c>
      <c r="I47" s="149">
        <f t="shared" ref="I47" si="15">H47*(1+I48)</f>
        <v>22145.471737064712</v>
      </c>
      <c r="J47" s="149">
        <f t="shared" ref="J47" si="16">I47*(1+J48)</f>
        <v>22674.018987579631</v>
      </c>
      <c r="K47" s="149">
        <f t="shared" ref="K47" si="17">J47*(1+K48)</f>
        <v>23215.181105790474</v>
      </c>
      <c r="L47" s="149">
        <f t="shared" ref="L47" si="18">K47*(1+L48)</f>
        <v>23769.259171471716</v>
      </c>
      <c r="M47" s="48"/>
    </row>
    <row r="48" spans="1:13" x14ac:dyDescent="0.2">
      <c r="A48" s="30" t="s">
        <v>160</v>
      </c>
      <c r="B48" s="30"/>
      <c r="C48" s="32">
        <f>B10</f>
        <v>2.3867057644578915E-2</v>
      </c>
      <c r="D48" s="33">
        <f>C48</f>
        <v>2.3867057644578915E-2</v>
      </c>
      <c r="E48" s="33">
        <f t="shared" ref="E48:L48" si="19">D48</f>
        <v>2.3867057644578915E-2</v>
      </c>
      <c r="F48" s="33">
        <f t="shared" si="19"/>
        <v>2.3867057644578915E-2</v>
      </c>
      <c r="G48" s="33">
        <f t="shared" si="19"/>
        <v>2.3867057644578915E-2</v>
      </c>
      <c r="H48" s="33">
        <f t="shared" si="19"/>
        <v>2.3867057644578915E-2</v>
      </c>
      <c r="I48" s="33">
        <f t="shared" si="19"/>
        <v>2.3867057644578915E-2</v>
      </c>
      <c r="J48" s="33">
        <f t="shared" si="19"/>
        <v>2.3867057644578915E-2</v>
      </c>
      <c r="K48" s="33">
        <f t="shared" si="19"/>
        <v>2.3867057644578915E-2</v>
      </c>
      <c r="L48" s="33">
        <f t="shared" si="19"/>
        <v>2.3867057644578915E-2</v>
      </c>
      <c r="M48" s="49">
        <f>D10</f>
        <v>4.1305847320745104E-2</v>
      </c>
    </row>
    <row r="49" spans="1:13" x14ac:dyDescent="0.2">
      <c r="A49" s="30" t="s">
        <v>168</v>
      </c>
      <c r="B49" s="30"/>
      <c r="C49" s="32">
        <f>C47/C39</f>
        <v>0.14143538741846332</v>
      </c>
      <c r="D49" s="33">
        <f t="shared" ref="D49:L49" si="20">D47/D39</f>
        <v>0.13744942022951073</v>
      </c>
      <c r="E49" s="33">
        <f t="shared" si="20"/>
        <v>0.13355548394591596</v>
      </c>
      <c r="F49" s="33">
        <f t="shared" si="20"/>
        <v>0.12975248173319529</v>
      </c>
      <c r="G49" s="33">
        <f t="shared" si="20"/>
        <v>0.12603927333019863</v>
      </c>
      <c r="H49" s="33">
        <f t="shared" si="20"/>
        <v>0.12241467869148732</v>
      </c>
      <c r="I49" s="33">
        <f t="shared" si="20"/>
        <v>0.11887748153228252</v>
      </c>
      <c r="J49" s="33">
        <f t="shared" si="20"/>
        <v>0.11542643277062044</v>
      </c>
      <c r="K49" s="33">
        <f t="shared" si="20"/>
        <v>0.11206025386214667</v>
      </c>
      <c r="L49" s="33">
        <f t="shared" si="20"/>
        <v>0.10877764002374021</v>
      </c>
      <c r="M49" s="48"/>
    </row>
    <row r="50" spans="1:13" x14ac:dyDescent="0.2">
      <c r="A50" s="13"/>
      <c r="B50" s="13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48"/>
    </row>
    <row r="51" spans="1:13" x14ac:dyDescent="0.2">
      <c r="A51" s="13" t="str">
        <f>A11</f>
        <v>Other International Operations</v>
      </c>
      <c r="B51" s="13">
        <f>RG!B34</f>
        <v>16361</v>
      </c>
      <c r="C51" s="127">
        <f>B51*(1+C52)</f>
        <v>17520.971954888271</v>
      </c>
      <c r="D51" s="149">
        <f t="shared" ref="D51" si="21">C51*(1+D52)</f>
        <v>18763.184294601881</v>
      </c>
      <c r="E51" s="149">
        <f t="shared" ref="E51" si="22">D51*(1+E52)</f>
        <v>20093.467747088787</v>
      </c>
      <c r="F51" s="149">
        <f t="shared" ref="F51" si="23">E51*(1+F52)</f>
        <v>21518.066430731295</v>
      </c>
      <c r="G51" s="149">
        <f t="shared" ref="G51" si="24">F51*(1+G52)</f>
        <v>23043.667163148086</v>
      </c>
      <c r="H51" s="149">
        <f t="shared" ref="H51" si="25">G51*(1+H52)</f>
        <v>24677.430847949232</v>
      </c>
      <c r="I51" s="149">
        <f t="shared" ref="I51" si="26">H51*(1+I52)</f>
        <v>26427.026086768121</v>
      </c>
      <c r="J51" s="149">
        <f t="shared" ref="J51" si="27">I51*(1+J52)</f>
        <v>28300.665174339283</v>
      </c>
      <c r="K51" s="149">
        <f t="shared" ref="K51" si="28">J51*(1+K52)</f>
        <v>30307.142645576787</v>
      </c>
      <c r="L51" s="149">
        <f t="shared" ref="L51" si="29">K51*(1+L52)</f>
        <v>32455.876555586408</v>
      </c>
      <c r="M51" s="48"/>
    </row>
    <row r="52" spans="1:13" x14ac:dyDescent="0.2">
      <c r="A52" s="30" t="s">
        <v>160</v>
      </c>
      <c r="B52" s="30"/>
      <c r="C52" s="32">
        <f>B11</f>
        <v>7.0898597572781275E-2</v>
      </c>
      <c r="D52" s="33">
        <f>C52</f>
        <v>7.0898597572781275E-2</v>
      </c>
      <c r="E52" s="33">
        <f t="shared" ref="E52:L52" si="30">D52</f>
        <v>7.0898597572781275E-2</v>
      </c>
      <c r="F52" s="33">
        <f t="shared" si="30"/>
        <v>7.0898597572781275E-2</v>
      </c>
      <c r="G52" s="33">
        <f t="shared" si="30"/>
        <v>7.0898597572781275E-2</v>
      </c>
      <c r="H52" s="33">
        <f t="shared" si="30"/>
        <v>7.0898597572781275E-2</v>
      </c>
      <c r="I52" s="33">
        <f t="shared" si="30"/>
        <v>7.0898597572781275E-2</v>
      </c>
      <c r="J52" s="33">
        <f t="shared" si="30"/>
        <v>7.0898597572781275E-2</v>
      </c>
      <c r="K52" s="33">
        <f t="shared" si="30"/>
        <v>7.0898597572781275E-2</v>
      </c>
      <c r="L52" s="33">
        <f t="shared" si="30"/>
        <v>7.0898597572781275E-2</v>
      </c>
      <c r="M52" s="49">
        <f>D11</f>
        <v>6.3340694872701109E-2</v>
      </c>
    </row>
    <row r="53" spans="1:13" x14ac:dyDescent="0.2">
      <c r="A53" s="96" t="s">
        <v>168</v>
      </c>
      <c r="B53" s="96"/>
      <c r="C53" s="136">
        <f>C51/C39</f>
        <v>0.12891182690628764</v>
      </c>
      <c r="D53" s="97">
        <f t="shared" ref="D53:L53" si="31">D51/D39</f>
        <v>0.13103350885233944</v>
      </c>
      <c r="E53" s="97">
        <f t="shared" si="31"/>
        <v>0.13316986628985672</v>
      </c>
      <c r="F53" s="97">
        <f t="shared" si="31"/>
        <v>0.13532084196929062</v>
      </c>
      <c r="G53" s="97">
        <f t="shared" si="31"/>
        <v>0.13748638358229315</v>
      </c>
      <c r="H53" s="97">
        <f t="shared" si="31"/>
        <v>0.13966644361749925</v>
      </c>
      <c r="I53" s="97">
        <f t="shared" si="31"/>
        <v>0.14186097920528329</v>
      </c>
      <c r="J53" s="97">
        <f t="shared" si="31"/>
        <v>0.14406995195245775</v>
      </c>
      <c r="K53" s="97">
        <f t="shared" si="31"/>
        <v>0.14629332776785955</v>
      </c>
      <c r="L53" s="97">
        <f t="shared" si="31"/>
        <v>0.14853107667974205</v>
      </c>
      <c r="M53" s="48"/>
    </row>
    <row r="54" spans="1:13" x14ac:dyDescent="0.2">
      <c r="C54" s="12"/>
      <c r="M54" s="48"/>
    </row>
    <row r="55" spans="1:13" x14ac:dyDescent="0.2">
      <c r="A55" s="11" t="s">
        <v>155</v>
      </c>
      <c r="C55" s="12"/>
      <c r="M55" s="48"/>
    </row>
    <row r="56" spans="1:13" x14ac:dyDescent="0.2">
      <c r="A56" s="131" t="str">
        <f>A13</f>
        <v>Merchandise costs, Net D&amp;A</v>
      </c>
      <c r="B56" s="131"/>
      <c r="C56" s="143">
        <f>C57*C39</f>
        <v>116971.29721370529</v>
      </c>
      <c r="D56" s="144">
        <f t="shared" ref="D56:L56" si="32">D57*D39</f>
        <v>123236.12908095005</v>
      </c>
      <c r="E56" s="144">
        <f>E57*E39</f>
        <v>129856.23453029904</v>
      </c>
      <c r="F56" s="144">
        <f t="shared" si="32"/>
        <v>136852.40298994319</v>
      </c>
      <c r="G56" s="144">
        <f t="shared" si="32"/>
        <v>144246.66473790098</v>
      </c>
      <c r="H56" s="144">
        <f t="shared" si="32"/>
        <v>152062.36610756733</v>
      </c>
      <c r="I56" s="144">
        <f t="shared" si="32"/>
        <v>160324.24931514508</v>
      </c>
      <c r="J56" s="144">
        <f t="shared" si="32"/>
        <v>169058.53719689633</v>
      </c>
      <c r="K56" s="144">
        <f t="shared" si="32"/>
        <v>178293.02316233394</v>
      </c>
      <c r="L56" s="144">
        <f t="shared" si="32"/>
        <v>188057.16668882087</v>
      </c>
      <c r="M56" s="48"/>
    </row>
    <row r="57" spans="1:13" x14ac:dyDescent="0.2">
      <c r="A57" s="30" t="s">
        <v>168</v>
      </c>
      <c r="B57" s="30"/>
      <c r="C57" s="32">
        <f>B13</f>
        <v>0.86062483623861596</v>
      </c>
      <c r="D57" s="33">
        <f>C57</f>
        <v>0.86062483623861596</v>
      </c>
      <c r="E57" s="33">
        <f t="shared" ref="E57:L57" si="33">D57</f>
        <v>0.86062483623861596</v>
      </c>
      <c r="F57" s="33">
        <f t="shared" si="33"/>
        <v>0.86062483623861596</v>
      </c>
      <c r="G57" s="33">
        <f t="shared" si="33"/>
        <v>0.86062483623861596</v>
      </c>
      <c r="H57" s="33">
        <f t="shared" si="33"/>
        <v>0.86062483623861596</v>
      </c>
      <c r="I57" s="33">
        <f t="shared" si="33"/>
        <v>0.86062483623861596</v>
      </c>
      <c r="J57" s="33">
        <f t="shared" si="33"/>
        <v>0.86062483623861596</v>
      </c>
      <c r="K57" s="33">
        <f t="shared" si="33"/>
        <v>0.86062483623861596</v>
      </c>
      <c r="L57" s="33">
        <f t="shared" si="33"/>
        <v>0.86062483623861596</v>
      </c>
      <c r="M57" s="49">
        <f>D13</f>
        <v>4.3725479093434808E-3</v>
      </c>
    </row>
    <row r="58" spans="1:13" x14ac:dyDescent="0.2">
      <c r="A58" s="13" t="str">
        <f>A14</f>
        <v>Selling, general and administrative</v>
      </c>
      <c r="B58" s="13"/>
      <c r="C58" s="127">
        <f>C59*C39</f>
        <v>13410.94909593342</v>
      </c>
      <c r="D58" s="149">
        <f t="shared" ref="D58:L58" si="34">D59*D39</f>
        <v>14129.222238725897</v>
      </c>
      <c r="E58" s="149">
        <f t="shared" si="34"/>
        <v>14888.228074394516</v>
      </c>
      <c r="F58" s="149">
        <f t="shared" si="34"/>
        <v>15690.350144627224</v>
      </c>
      <c r="G58" s="149">
        <f t="shared" si="34"/>
        <v>16538.114256558871</v>
      </c>
      <c r="H58" s="149">
        <f t="shared" si="34"/>
        <v>17434.197105209467</v>
      </c>
      <c r="I58" s="149">
        <f t="shared" si="34"/>
        <v>18381.435425828775</v>
      </c>
      <c r="J58" s="149">
        <f t="shared" si="34"/>
        <v>19382.835709159735</v>
      </c>
      <c r="K58" s="149">
        <f t="shared" si="34"/>
        <v>20441.584514717862</v>
      </c>
      <c r="L58" s="149">
        <f t="shared" si="34"/>
        <v>21561.0594194021</v>
      </c>
      <c r="M58" s="48"/>
    </row>
    <row r="59" spans="1:13" x14ac:dyDescent="0.2">
      <c r="A59" s="30" t="s">
        <v>168</v>
      </c>
      <c r="B59" s="30"/>
      <c r="C59" s="32">
        <f>B14</f>
        <v>9.8672034459918651E-2</v>
      </c>
      <c r="D59" s="33">
        <f>C59</f>
        <v>9.8672034459918651E-2</v>
      </c>
      <c r="E59" s="33">
        <f t="shared" ref="E59:L59" si="35">D59</f>
        <v>9.8672034459918651E-2</v>
      </c>
      <c r="F59" s="33">
        <f t="shared" si="35"/>
        <v>9.8672034459918651E-2</v>
      </c>
      <c r="G59" s="33">
        <f t="shared" si="35"/>
        <v>9.8672034459918651E-2</v>
      </c>
      <c r="H59" s="33">
        <f t="shared" si="35"/>
        <v>9.8672034459918651E-2</v>
      </c>
      <c r="I59" s="33">
        <f t="shared" si="35"/>
        <v>9.8672034459918651E-2</v>
      </c>
      <c r="J59" s="33">
        <f t="shared" si="35"/>
        <v>9.8672034459918651E-2</v>
      </c>
      <c r="K59" s="33">
        <f t="shared" si="35"/>
        <v>9.8672034459918651E-2</v>
      </c>
      <c r="L59" s="33">
        <f t="shared" si="35"/>
        <v>9.8672034459918651E-2</v>
      </c>
      <c r="M59" s="49">
        <f>D14</f>
        <v>2.4857719296725654E-3</v>
      </c>
    </row>
    <row r="60" spans="1:13" x14ac:dyDescent="0.2">
      <c r="A60" s="13" t="str">
        <f>A15</f>
        <v>Preopening expenses</v>
      </c>
      <c r="B60" s="13"/>
      <c r="C60" s="127">
        <f>C61*C39</f>
        <v>78.727926629162866</v>
      </c>
      <c r="D60" s="149">
        <f t="shared" ref="D60:L60" si="36">D61*D39</f>
        <v>82.944492875217094</v>
      </c>
      <c r="E60" s="149">
        <f t="shared" si="36"/>
        <v>87.400177205548715</v>
      </c>
      <c r="F60" s="149">
        <f t="shared" si="36"/>
        <v>92.108972015012398</v>
      </c>
      <c r="G60" s="149">
        <f t="shared" si="36"/>
        <v>97.085704856629874</v>
      </c>
      <c r="H60" s="149">
        <f t="shared" si="36"/>
        <v>102.34608905893865</v>
      </c>
      <c r="I60" s="149">
        <f t="shared" si="36"/>
        <v>107.90677745411429</v>
      </c>
      <c r="J60" s="149">
        <f t="shared" si="36"/>
        <v>113.78541941066371</v>
      </c>
      <c r="K60" s="149">
        <f t="shared" si="36"/>
        <v>120.00072137672436</v>
      </c>
      <c r="L60" s="149">
        <f t="shared" si="36"/>
        <v>126.57251115302694</v>
      </c>
      <c r="M60" s="48"/>
    </row>
    <row r="61" spans="1:13" x14ac:dyDescent="0.2">
      <c r="A61" s="96" t="s">
        <v>168</v>
      </c>
      <c r="B61" s="96"/>
      <c r="C61" s="136">
        <f>B15</f>
        <v>5.7924645256212759E-4</v>
      </c>
      <c r="D61" s="97">
        <f>C61</f>
        <v>5.7924645256212759E-4</v>
      </c>
      <c r="E61" s="97">
        <f t="shared" ref="E61:L61" si="37">D61</f>
        <v>5.7924645256212759E-4</v>
      </c>
      <c r="F61" s="97">
        <f t="shared" si="37"/>
        <v>5.7924645256212759E-4</v>
      </c>
      <c r="G61" s="97">
        <f t="shared" si="37"/>
        <v>5.7924645256212759E-4</v>
      </c>
      <c r="H61" s="97">
        <f t="shared" si="37"/>
        <v>5.7924645256212759E-4</v>
      </c>
      <c r="I61" s="97">
        <f t="shared" si="37"/>
        <v>5.7924645256212759E-4</v>
      </c>
      <c r="J61" s="97">
        <f t="shared" si="37"/>
        <v>5.7924645256212759E-4</v>
      </c>
      <c r="K61" s="97">
        <f t="shared" si="37"/>
        <v>5.7924645256212759E-4</v>
      </c>
      <c r="L61" s="97">
        <f t="shared" si="37"/>
        <v>5.7924645256212759E-4</v>
      </c>
      <c r="M61" s="49">
        <f>D15</f>
        <v>7.05487067068761E-5</v>
      </c>
    </row>
    <row r="62" spans="1:13" ht="16" thickBot="1" x14ac:dyDescent="0.25">
      <c r="C62" s="12"/>
      <c r="M62" s="48"/>
    </row>
    <row r="63" spans="1:13" x14ac:dyDescent="0.2">
      <c r="A63" s="123" t="str">
        <f>A26</f>
        <v>DOL</v>
      </c>
      <c r="B63" s="124"/>
      <c r="C63" s="150">
        <f>B26</f>
        <v>1</v>
      </c>
      <c r="D63" s="151">
        <f>C63</f>
        <v>1</v>
      </c>
      <c r="E63" s="151">
        <f t="shared" ref="E63:L63" si="38">D63</f>
        <v>1</v>
      </c>
      <c r="F63" s="151">
        <f t="shared" si="38"/>
        <v>1</v>
      </c>
      <c r="G63" s="151">
        <f t="shared" si="38"/>
        <v>1</v>
      </c>
      <c r="H63" s="151">
        <f t="shared" si="38"/>
        <v>1</v>
      </c>
      <c r="I63" s="151">
        <f t="shared" si="38"/>
        <v>1</v>
      </c>
      <c r="J63" s="151">
        <f t="shared" si="38"/>
        <v>1</v>
      </c>
      <c r="K63" s="151">
        <f t="shared" si="38"/>
        <v>1</v>
      </c>
      <c r="L63" s="182">
        <f t="shared" si="38"/>
        <v>1</v>
      </c>
      <c r="M63" s="156"/>
    </row>
    <row r="64" spans="1:13" ht="16" thickBot="1" x14ac:dyDescent="0.25">
      <c r="A64" s="125" t="s">
        <v>163</v>
      </c>
      <c r="B64" s="129"/>
      <c r="C64" s="155">
        <f>(C63-1)*C40*C39</f>
        <v>0</v>
      </c>
      <c r="D64" s="129">
        <f t="shared" ref="D64:L64" si="39">(D63-1)*D40*D39</f>
        <v>0</v>
      </c>
      <c r="E64" s="129">
        <f t="shared" si="39"/>
        <v>0</v>
      </c>
      <c r="F64" s="129">
        <f t="shared" si="39"/>
        <v>0</v>
      </c>
      <c r="G64" s="129">
        <f t="shared" si="39"/>
        <v>0</v>
      </c>
      <c r="H64" s="129">
        <f t="shared" si="39"/>
        <v>0</v>
      </c>
      <c r="I64" s="129">
        <f t="shared" si="39"/>
        <v>0</v>
      </c>
      <c r="J64" s="129">
        <f t="shared" si="39"/>
        <v>0</v>
      </c>
      <c r="K64" s="129">
        <f t="shared" si="39"/>
        <v>0</v>
      </c>
      <c r="L64" s="130">
        <f t="shared" si="39"/>
        <v>0</v>
      </c>
      <c r="M64" s="156"/>
    </row>
    <row r="65" spans="1:13" x14ac:dyDescent="0.2">
      <c r="C65" s="12"/>
      <c r="M65" s="48"/>
    </row>
    <row r="66" spans="1:13" x14ac:dyDescent="0.2">
      <c r="A66" s="133" t="s">
        <v>164</v>
      </c>
      <c r="B66" s="131"/>
      <c r="C66" s="143">
        <f>C39-C56-C58-C60</f>
        <v>5453.4129488980816</v>
      </c>
      <c r="D66" s="144">
        <f t="shared" ref="D66:L66" si="40">D39-D56-D58-D60</f>
        <v>5745.4907153357935</v>
      </c>
      <c r="E66" s="144">
        <f t="shared" si="40"/>
        <v>6054.1319772565912</v>
      </c>
      <c r="F66" s="144">
        <f t="shared" si="40"/>
        <v>6380.3059753169182</v>
      </c>
      <c r="G66" s="144">
        <f t="shared" si="40"/>
        <v>6725.0398008312541</v>
      </c>
      <c r="H66" s="144">
        <f t="shared" si="40"/>
        <v>7089.4219019905313</v>
      </c>
      <c r="I66" s="144">
        <f t="shared" si="40"/>
        <v>7474.6058055610993</v>
      </c>
      <c r="J66" s="144">
        <f t="shared" si="40"/>
        <v>7881.8140674881633</v>
      </c>
      <c r="K66" s="144">
        <f t="shared" si="40"/>
        <v>8312.3424666759529</v>
      </c>
      <c r="L66" s="144">
        <f t="shared" si="40"/>
        <v>8767.564457118282</v>
      </c>
      <c r="M66" s="48"/>
    </row>
    <row r="67" spans="1:13" x14ac:dyDescent="0.2">
      <c r="A67" s="96" t="s">
        <v>168</v>
      </c>
      <c r="B67" s="96"/>
      <c r="C67" s="136">
        <f>C66/C39</f>
        <v>4.0123882848903294E-2</v>
      </c>
      <c r="D67" s="97">
        <f t="shared" ref="D67:L67" si="41">D66/D39</f>
        <v>4.0123882848903225E-2</v>
      </c>
      <c r="E67" s="97">
        <f t="shared" si="41"/>
        <v>4.0123882848903239E-2</v>
      </c>
      <c r="F67" s="97">
        <f t="shared" si="41"/>
        <v>4.0123882848903308E-2</v>
      </c>
      <c r="G67" s="97">
        <f t="shared" si="41"/>
        <v>4.0123882848903315E-2</v>
      </c>
      <c r="H67" s="97">
        <f t="shared" si="41"/>
        <v>4.012388284890319E-2</v>
      </c>
      <c r="I67" s="97">
        <f t="shared" si="41"/>
        <v>4.0123882848903197E-2</v>
      </c>
      <c r="J67" s="97">
        <f t="shared" si="41"/>
        <v>4.0123882848903246E-2</v>
      </c>
      <c r="K67" s="97">
        <f t="shared" si="41"/>
        <v>4.0123882848903274E-2</v>
      </c>
      <c r="L67" s="97">
        <f t="shared" si="41"/>
        <v>4.0123882848903308E-2</v>
      </c>
      <c r="M67" s="48"/>
    </row>
    <row r="68" spans="1:13" x14ac:dyDescent="0.2">
      <c r="C68" s="12"/>
      <c r="M68" s="48"/>
    </row>
    <row r="69" spans="1:13" x14ac:dyDescent="0.2">
      <c r="A69" s="11" t="s">
        <v>120</v>
      </c>
      <c r="C69" s="12"/>
      <c r="M69" s="48"/>
    </row>
    <row r="70" spans="1:13" x14ac:dyDescent="0.2">
      <c r="A70" t="str">
        <f>A17</f>
        <v>Interest expense as % of Total Debt</v>
      </c>
      <c r="C70" s="127">
        <f>C71*B72</f>
        <v>111.58131465106031</v>
      </c>
      <c r="D70" s="126">
        <f t="shared" ref="D70:L70" si="42">D71*C72</f>
        <v>111.58131465106031</v>
      </c>
      <c r="E70" s="126">
        <f t="shared" si="42"/>
        <v>111.58131465106031</v>
      </c>
      <c r="F70" s="126">
        <f t="shared" si="42"/>
        <v>111.58131465106031</v>
      </c>
      <c r="G70" s="126">
        <f t="shared" si="42"/>
        <v>111.58131465106031</v>
      </c>
      <c r="H70" s="126">
        <f t="shared" si="42"/>
        <v>111.58131465106031</v>
      </c>
      <c r="I70" s="126">
        <f t="shared" si="42"/>
        <v>111.58131465106031</v>
      </c>
      <c r="J70" s="126">
        <f t="shared" si="42"/>
        <v>111.58131465106031</v>
      </c>
      <c r="K70" s="126">
        <f t="shared" si="42"/>
        <v>111.58131465106031</v>
      </c>
      <c r="L70" s="126">
        <f t="shared" si="42"/>
        <v>0</v>
      </c>
      <c r="M70" s="48"/>
    </row>
    <row r="71" spans="1:13" x14ac:dyDescent="0.2">
      <c r="A71" s="134" t="s">
        <v>165</v>
      </c>
      <c r="B71" s="137">
        <f>B17</f>
        <v>2.1620095844034161E-2</v>
      </c>
      <c r="C71" s="32">
        <f>B71</f>
        <v>2.1620095844034161E-2</v>
      </c>
      <c r="D71" s="137">
        <f t="shared" ref="D71:K71" si="43">C71</f>
        <v>2.1620095844034161E-2</v>
      </c>
      <c r="E71" s="137">
        <f t="shared" si="43"/>
        <v>2.1620095844034161E-2</v>
      </c>
      <c r="F71" s="137">
        <f t="shared" si="43"/>
        <v>2.1620095844034161E-2</v>
      </c>
      <c r="G71" s="137">
        <f t="shared" si="43"/>
        <v>2.1620095844034161E-2</v>
      </c>
      <c r="H71" s="137">
        <f t="shared" si="43"/>
        <v>2.1620095844034161E-2</v>
      </c>
      <c r="I71" s="137">
        <f t="shared" si="43"/>
        <v>2.1620095844034161E-2</v>
      </c>
      <c r="J71" s="137">
        <f t="shared" si="43"/>
        <v>2.1620095844034161E-2</v>
      </c>
      <c r="K71" s="137">
        <f t="shared" si="43"/>
        <v>2.1620095844034161E-2</v>
      </c>
      <c r="L71" s="137">
        <v>0</v>
      </c>
      <c r="M71" s="49">
        <f>D17</f>
        <v>2.7234702076473546E-3</v>
      </c>
    </row>
    <row r="72" spans="1:13" x14ac:dyDescent="0.2">
      <c r="A72" s="134" t="s">
        <v>166</v>
      </c>
      <c r="B72" s="140">
        <f>VD!E125+VD!E134</f>
        <v>5161</v>
      </c>
      <c r="C72" s="135">
        <f>B72-C70+B71*B72</f>
        <v>5161</v>
      </c>
      <c r="D72" s="134">
        <f t="shared" ref="D72:K72" si="44">C72-D70+C71*C72</f>
        <v>5161</v>
      </c>
      <c r="E72" s="134">
        <f t="shared" si="44"/>
        <v>5161</v>
      </c>
      <c r="F72" s="134">
        <f t="shared" si="44"/>
        <v>5161</v>
      </c>
      <c r="G72" s="134">
        <f t="shared" si="44"/>
        <v>5161</v>
      </c>
      <c r="H72" s="134">
        <f t="shared" si="44"/>
        <v>5161</v>
      </c>
      <c r="I72" s="134">
        <f t="shared" si="44"/>
        <v>5161</v>
      </c>
      <c r="J72" s="134">
        <f t="shared" si="44"/>
        <v>5161</v>
      </c>
      <c r="K72" s="134">
        <f t="shared" si="44"/>
        <v>5161</v>
      </c>
      <c r="L72" s="134">
        <v>0</v>
      </c>
      <c r="M72" s="48"/>
    </row>
    <row r="73" spans="1:13" x14ac:dyDescent="0.2">
      <c r="A73" t="str">
        <f>A18</f>
        <v>Interest income and other, net as % of Rev</v>
      </c>
      <c r="C73" s="127">
        <f>C74*C39</f>
        <v>-102.50250407706851</v>
      </c>
      <c r="D73" s="126">
        <f t="shared" ref="D73:L73" si="45">D74*D39</f>
        <v>-107.99240603858291</v>
      </c>
      <c r="E73" s="126">
        <f t="shared" si="45"/>
        <v>-113.79363592981653</v>
      </c>
      <c r="F73" s="126">
        <f t="shared" si="45"/>
        <v>-119.92441162556995</v>
      </c>
      <c r="G73" s="126">
        <f t="shared" si="45"/>
        <v>-126.40403836324923</v>
      </c>
      <c r="H73" s="126">
        <f t="shared" si="45"/>
        <v>-133.25297464584614</v>
      </c>
      <c r="I73" s="126">
        <f t="shared" si="45"/>
        <v>-140.49290219509604</v>
      </c>
      <c r="J73" s="126">
        <f t="shared" si="45"/>
        <v>-148.14680020713413</v>
      </c>
      <c r="K73" s="126">
        <f t="shared" si="45"/>
        <v>-156.23902417890517</v>
      </c>
      <c r="L73" s="126">
        <f t="shared" si="45"/>
        <v>0</v>
      </c>
      <c r="M73" s="48"/>
    </row>
    <row r="74" spans="1:13" ht="16" thickBot="1" x14ac:dyDescent="0.25">
      <c r="A74" s="134" t="s">
        <v>162</v>
      </c>
      <c r="B74" s="134"/>
      <c r="C74" s="32">
        <f>B18</f>
        <v>-7.5416963722480662E-4</v>
      </c>
      <c r="D74" s="137">
        <f>C74</f>
        <v>-7.5416963722480662E-4</v>
      </c>
      <c r="E74" s="137">
        <f t="shared" ref="E74:K74" si="46">D74</f>
        <v>-7.5416963722480662E-4</v>
      </c>
      <c r="F74" s="137">
        <f t="shared" si="46"/>
        <v>-7.5416963722480662E-4</v>
      </c>
      <c r="G74" s="137">
        <f t="shared" si="46"/>
        <v>-7.5416963722480662E-4</v>
      </c>
      <c r="H74" s="137">
        <f t="shared" si="46"/>
        <v>-7.5416963722480662E-4</v>
      </c>
      <c r="I74" s="137">
        <f t="shared" si="46"/>
        <v>-7.5416963722480662E-4</v>
      </c>
      <c r="J74" s="137">
        <f t="shared" si="46"/>
        <v>-7.5416963722480662E-4</v>
      </c>
      <c r="K74" s="137">
        <f t="shared" si="46"/>
        <v>-7.5416963722480662E-4</v>
      </c>
      <c r="L74" s="137">
        <v>0</v>
      </c>
      <c r="M74" s="49">
        <f>D18</f>
        <v>1.1238653145296337E-4</v>
      </c>
    </row>
    <row r="75" spans="1:13" x14ac:dyDescent="0.2">
      <c r="A75" s="123" t="str">
        <f>A19</f>
        <v>Depreciation &amp; Amortization as % of Rev</v>
      </c>
      <c r="B75" s="124"/>
      <c r="C75" s="150">
        <f>C76*C39</f>
        <v>1332.494131846375</v>
      </c>
      <c r="D75" s="151">
        <f t="shared" ref="D75:L75" si="47">D76*D39</f>
        <v>1403.8607995585091</v>
      </c>
      <c r="E75" s="151">
        <f t="shared" si="47"/>
        <v>1479.2746136615144</v>
      </c>
      <c r="F75" s="151">
        <f t="shared" si="47"/>
        <v>1558.972399699167</v>
      </c>
      <c r="G75" s="151">
        <f t="shared" si="47"/>
        <v>1643.2051185215366</v>
      </c>
      <c r="H75" s="151">
        <f t="shared" si="47"/>
        <v>1732.2387229990275</v>
      </c>
      <c r="I75" s="151">
        <f t="shared" si="47"/>
        <v>1826.3550673872091</v>
      </c>
      <c r="J75" s="151">
        <f t="shared" si="47"/>
        <v>1925.8528726225163</v>
      </c>
      <c r="K75" s="151">
        <f t="shared" si="47"/>
        <v>2031.0487510360249</v>
      </c>
      <c r="L75" s="151">
        <f t="shared" si="47"/>
        <v>2142.2782941929181</v>
      </c>
      <c r="M75" s="48"/>
    </row>
    <row r="76" spans="1:13" x14ac:dyDescent="0.2">
      <c r="A76" s="31" t="s">
        <v>168</v>
      </c>
      <c r="B76" s="30"/>
      <c r="C76" s="32">
        <f>B19</f>
        <v>9.8039225974732337E-3</v>
      </c>
      <c r="D76" s="33">
        <f>C76</f>
        <v>9.8039225974732337E-3</v>
      </c>
      <c r="E76" s="33">
        <f t="shared" ref="E76:L76" si="48">D76</f>
        <v>9.8039225974732337E-3</v>
      </c>
      <c r="F76" s="33">
        <f t="shared" si="48"/>
        <v>9.8039225974732337E-3</v>
      </c>
      <c r="G76" s="33">
        <f t="shared" si="48"/>
        <v>9.8039225974732337E-3</v>
      </c>
      <c r="H76" s="33">
        <f t="shared" si="48"/>
        <v>9.8039225974732337E-3</v>
      </c>
      <c r="I76" s="33">
        <f t="shared" si="48"/>
        <v>9.8039225974732337E-3</v>
      </c>
      <c r="J76" s="33">
        <f t="shared" si="48"/>
        <v>9.8039225974732337E-3</v>
      </c>
      <c r="K76" s="33">
        <f t="shared" si="48"/>
        <v>9.8039225974732337E-3</v>
      </c>
      <c r="L76" s="33">
        <f t="shared" si="48"/>
        <v>9.8039225974732337E-3</v>
      </c>
      <c r="M76" s="49">
        <f>D19</f>
        <v>7.1496877963147371E-4</v>
      </c>
    </row>
    <row r="77" spans="1:13" x14ac:dyDescent="0.2">
      <c r="A77" s="128" t="s">
        <v>167</v>
      </c>
      <c r="B77" s="13"/>
      <c r="C77" s="127">
        <f>C66-C70-C73-C75</f>
        <v>4111.8400064777152</v>
      </c>
      <c r="D77" s="149">
        <f t="shared" ref="D77:L77" si="49">D66-D70-D73-D75</f>
        <v>4338.0410071648075</v>
      </c>
      <c r="E77" s="149">
        <f t="shared" si="49"/>
        <v>4577.0696848738335</v>
      </c>
      <c r="F77" s="149">
        <f t="shared" si="49"/>
        <v>4829.6766725922607</v>
      </c>
      <c r="G77" s="149">
        <f t="shared" si="49"/>
        <v>5096.6574060219064</v>
      </c>
      <c r="H77" s="149">
        <f t="shared" si="49"/>
        <v>5378.8548389862899</v>
      </c>
      <c r="I77" s="149">
        <f t="shared" si="49"/>
        <v>5677.1623257179253</v>
      </c>
      <c r="J77" s="149">
        <f t="shared" si="49"/>
        <v>5992.5266804217208</v>
      </c>
      <c r="K77" s="149">
        <f t="shared" si="49"/>
        <v>6325.951425167772</v>
      </c>
      <c r="L77" s="149">
        <f t="shared" si="49"/>
        <v>6625.2861629253639</v>
      </c>
      <c r="M77" s="48"/>
    </row>
    <row r="78" spans="1:13" ht="16" thickBot="1" x14ac:dyDescent="0.25">
      <c r="A78" s="28" t="s">
        <v>168</v>
      </c>
      <c r="B78" s="138"/>
      <c r="C78" s="35">
        <f>C77/C39</f>
        <v>3.0253162241579763E-2</v>
      </c>
      <c r="D78" s="41">
        <f t="shared" ref="D78:L78" si="50">D77/D39</f>
        <v>3.0294896952948271E-2</v>
      </c>
      <c r="E78" s="41">
        <f t="shared" si="50"/>
        <v>3.0334622455714028E-2</v>
      </c>
      <c r="F78" s="41">
        <f t="shared" si="50"/>
        <v>3.0372427554236133E-2</v>
      </c>
      <c r="G78" s="41">
        <f t="shared" si="50"/>
        <v>3.0408397680403518E-2</v>
      </c>
      <c r="H78" s="41">
        <f t="shared" si="50"/>
        <v>3.0442614983902279E-2</v>
      </c>
      <c r="I78" s="41">
        <f t="shared" si="50"/>
        <v>3.047515842264718E-2</v>
      </c>
      <c r="J78" s="41">
        <f t="shared" si="50"/>
        <v>3.050610385316975E-2</v>
      </c>
      <c r="K78" s="41">
        <f t="shared" si="50"/>
        <v>3.0535524120770003E-2</v>
      </c>
      <c r="L78" s="41">
        <f t="shared" si="50"/>
        <v>3.0319960251430078E-2</v>
      </c>
      <c r="M78" s="49"/>
    </row>
    <row r="79" spans="1:13" x14ac:dyDescent="0.2">
      <c r="A79" t="str">
        <f>A20</f>
        <v>Provision for income taxes (as % of EBT)</v>
      </c>
      <c r="C79" s="127">
        <f>C80*C77</f>
        <v>1377.0256566400906</v>
      </c>
      <c r="D79" s="126">
        <f t="shared" ref="D79:L79" si="51">D80*D77</f>
        <v>1452.7787455280536</v>
      </c>
      <c r="E79" s="126">
        <f t="shared" si="51"/>
        <v>1532.8277312277767</v>
      </c>
      <c r="F79" s="126">
        <f t="shared" si="51"/>
        <v>1617.4239953301862</v>
      </c>
      <c r="G79" s="126">
        <f t="shared" si="51"/>
        <v>1706.8339235331414</v>
      </c>
      <c r="H79" s="126">
        <f t="shared" si="51"/>
        <v>1801.3398150118335</v>
      </c>
      <c r="I79" s="126">
        <f t="shared" si="51"/>
        <v>1901.24084767608</v>
      </c>
      <c r="J79" s="126">
        <f t="shared" si="51"/>
        <v>2006.8541027961089</v>
      </c>
      <c r="K79" s="126">
        <f t="shared" si="51"/>
        <v>2118.5156526985065</v>
      </c>
      <c r="L79" s="126">
        <f t="shared" si="51"/>
        <v>2218.7607043460603</v>
      </c>
      <c r="M79" s="48"/>
    </row>
    <row r="80" spans="1:13" x14ac:dyDescent="0.2">
      <c r="A80" s="134" t="s">
        <v>172</v>
      </c>
      <c r="B80" s="134"/>
      <c r="C80" s="32">
        <f>B20</f>
        <v>0.3348928106324055</v>
      </c>
      <c r="D80" s="137">
        <f>C80</f>
        <v>0.3348928106324055</v>
      </c>
      <c r="E80" s="137">
        <f t="shared" ref="E80:L80" si="52">D80</f>
        <v>0.3348928106324055</v>
      </c>
      <c r="F80" s="137">
        <f t="shared" si="52"/>
        <v>0.3348928106324055</v>
      </c>
      <c r="G80" s="137">
        <f t="shared" si="52"/>
        <v>0.3348928106324055</v>
      </c>
      <c r="H80" s="137">
        <f t="shared" si="52"/>
        <v>0.3348928106324055</v>
      </c>
      <c r="I80" s="137">
        <f t="shared" si="52"/>
        <v>0.3348928106324055</v>
      </c>
      <c r="J80" s="137">
        <f t="shared" si="52"/>
        <v>0.3348928106324055</v>
      </c>
      <c r="K80" s="137">
        <f t="shared" si="52"/>
        <v>0.3348928106324055</v>
      </c>
      <c r="L80" s="137">
        <f t="shared" si="52"/>
        <v>0.3348928106324055</v>
      </c>
      <c r="M80" s="49">
        <f>D20</f>
        <v>1.0408472966511508E-2</v>
      </c>
    </row>
    <row r="81" spans="1:13" x14ac:dyDescent="0.2">
      <c r="A81" t="str">
        <f>A21</f>
        <v>Net income attributable to noncontrolling interests as % of Rev</v>
      </c>
      <c r="C81" s="127">
        <f>C82*C39</f>
        <v>33.739595102829071</v>
      </c>
      <c r="D81" s="126">
        <f t="shared" ref="D81:L81" si="53">D82*D39</f>
        <v>35.546644315953237</v>
      </c>
      <c r="E81" s="126">
        <f t="shared" si="53"/>
        <v>37.456169838193034</v>
      </c>
      <c r="F81" s="126">
        <f t="shared" si="53"/>
        <v>39.47416824226579</v>
      </c>
      <c r="G81" s="126">
        <f t="shared" si="53"/>
        <v>41.606994015794122</v>
      </c>
      <c r="H81" s="126">
        <f t="shared" si="53"/>
        <v>43.86138125384786</v>
      </c>
      <c r="I81" s="126">
        <f t="shared" si="53"/>
        <v>46.244466684637416</v>
      </c>
      <c r="J81" s="126">
        <f t="shared" si="53"/>
        <v>48.76381411141201</v>
      </c>
      <c r="K81" s="126">
        <f t="shared" si="53"/>
        <v>51.42744035886134</v>
      </c>
      <c r="L81" s="126">
        <f t="shared" si="53"/>
        <v>54.24384281789964</v>
      </c>
      <c r="M81" s="48"/>
    </row>
    <row r="82" spans="1:13" x14ac:dyDescent="0.2">
      <c r="A82" s="134" t="s">
        <v>168</v>
      </c>
      <c r="B82" s="134"/>
      <c r="C82" s="32">
        <f>B21</f>
        <v>2.4824152763800638E-4</v>
      </c>
      <c r="D82" s="137">
        <f>C82</f>
        <v>2.4824152763800638E-4</v>
      </c>
      <c r="E82" s="137">
        <f t="shared" ref="E82:L82" si="54">D82</f>
        <v>2.4824152763800638E-4</v>
      </c>
      <c r="F82" s="137">
        <f t="shared" si="54"/>
        <v>2.4824152763800638E-4</v>
      </c>
      <c r="G82" s="137">
        <f t="shared" si="54"/>
        <v>2.4824152763800638E-4</v>
      </c>
      <c r="H82" s="137">
        <f t="shared" si="54"/>
        <v>2.4824152763800638E-4</v>
      </c>
      <c r="I82" s="137">
        <f t="shared" si="54"/>
        <v>2.4824152763800638E-4</v>
      </c>
      <c r="J82" s="137">
        <f t="shared" si="54"/>
        <v>2.4824152763800638E-4</v>
      </c>
      <c r="K82" s="137">
        <f t="shared" si="54"/>
        <v>2.4824152763800638E-4</v>
      </c>
      <c r="L82" s="137">
        <f t="shared" si="54"/>
        <v>2.4824152763800638E-4</v>
      </c>
      <c r="M82" s="49">
        <f>D21</f>
        <v>3.3215998262595775E-5</v>
      </c>
    </row>
    <row r="83" spans="1:13" x14ac:dyDescent="0.2">
      <c r="C83" s="12"/>
      <c r="M83" s="48"/>
    </row>
    <row r="84" spans="1:13" x14ac:dyDescent="0.2">
      <c r="A84" s="131" t="s">
        <v>169</v>
      </c>
      <c r="B84" s="131"/>
      <c r="C84" s="143">
        <f>C66-C70-C73-C79-C81</f>
        <v>4033.5688865811708</v>
      </c>
      <c r="D84" s="144">
        <f t="shared" ref="D84:L84" si="55">D66-D70-D73-D79-D81</f>
        <v>4253.5764168793103</v>
      </c>
      <c r="E84" s="144">
        <f t="shared" si="55"/>
        <v>4486.0603974693777</v>
      </c>
      <c r="F84" s="144">
        <f t="shared" si="55"/>
        <v>4731.7509087189765</v>
      </c>
      <c r="G84" s="144">
        <f t="shared" si="55"/>
        <v>4991.4216069945078</v>
      </c>
      <c r="H84" s="144">
        <f t="shared" si="55"/>
        <v>5265.8923657196356</v>
      </c>
      <c r="I84" s="144">
        <f t="shared" si="55"/>
        <v>5556.032078744417</v>
      </c>
      <c r="J84" s="144">
        <f t="shared" si="55"/>
        <v>5862.7616361367163</v>
      </c>
      <c r="K84" s="144">
        <f t="shared" si="55"/>
        <v>6187.0570831464292</v>
      </c>
      <c r="L84" s="144">
        <f t="shared" si="55"/>
        <v>6494.5599099543224</v>
      </c>
      <c r="M84" s="48"/>
    </row>
    <row r="85" spans="1:13" x14ac:dyDescent="0.2">
      <c r="A85" s="96" t="s">
        <v>168</v>
      </c>
      <c r="B85" s="96"/>
      <c r="C85" s="141">
        <f>C84/C39</f>
        <v>2.967727677781418E-2</v>
      </c>
      <c r="D85" s="142">
        <f t="shared" ref="D85:L85" si="56">D84/D39</f>
        <v>2.9705034834391554E-2</v>
      </c>
      <c r="E85" s="142">
        <f t="shared" si="56"/>
        <v>2.9731456551882297E-2</v>
      </c>
      <c r="F85" s="142">
        <f t="shared" si="56"/>
        <v>2.9756600994704108E-2</v>
      </c>
      <c r="G85" s="142">
        <f t="shared" si="56"/>
        <v>2.9780524984220492E-2</v>
      </c>
      <c r="H85" s="142">
        <f t="shared" si="56"/>
        <v>2.9803283158778289E-2</v>
      </c>
      <c r="I85" s="142">
        <f t="shared" si="56"/>
        <v>2.9824928033854267E-2</v>
      </c>
      <c r="J85" s="142">
        <f t="shared" si="56"/>
        <v>2.9845510062172904E-2</v>
      </c>
      <c r="K85" s="142">
        <f t="shared" si="56"/>
        <v>2.9865077693666954E-2</v>
      </c>
      <c r="L85" s="142">
        <f t="shared" si="56"/>
        <v>2.9721704614401073E-2</v>
      </c>
      <c r="M85" s="48"/>
    </row>
    <row r="86" spans="1:13" x14ac:dyDescent="0.2">
      <c r="C86" s="12"/>
      <c r="M86" s="48"/>
    </row>
    <row r="87" spans="1:13" x14ac:dyDescent="0.2">
      <c r="A87" s="11" t="s">
        <v>124</v>
      </c>
      <c r="C87" s="12"/>
      <c r="M87" s="48"/>
    </row>
    <row r="88" spans="1:13" x14ac:dyDescent="0.2">
      <c r="A88" s="131" t="str">
        <f>A23</f>
        <v>Change in Working Capital</v>
      </c>
      <c r="B88" s="131"/>
      <c r="C88" s="143">
        <f>C89*C39</f>
        <v>-666.06485144417923</v>
      </c>
      <c r="D88" s="144">
        <f t="shared" ref="D88:L88" si="57">D89*D39</f>
        <v>-701.73842612768044</v>
      </c>
      <c r="E88" s="144">
        <f t="shared" si="57"/>
        <v>-739.43502057178137</v>
      </c>
      <c r="F88" s="144">
        <f t="shared" si="57"/>
        <v>-779.27301516320449</v>
      </c>
      <c r="G88" s="144">
        <f t="shared" si="57"/>
        <v>-821.37785600885957</v>
      </c>
      <c r="H88" s="144">
        <f t="shared" si="57"/>
        <v>-865.8824831757106</v>
      </c>
      <c r="I88" s="144">
        <f t="shared" si="57"/>
        <v>-912.92778524883886</v>
      </c>
      <c r="J88" s="144">
        <f t="shared" si="57"/>
        <v>-962.6630818472911</v>
      </c>
      <c r="K88" s="144">
        <f t="shared" si="57"/>
        <v>-1015.246635840842</v>
      </c>
      <c r="L88" s="144">
        <f t="shared" si="57"/>
        <v>-1070.8461971209674</v>
      </c>
      <c r="M88" s="48"/>
    </row>
    <row r="89" spans="1:13" x14ac:dyDescent="0.2">
      <c r="A89" s="30" t="s">
        <v>168</v>
      </c>
      <c r="B89" s="30"/>
      <c r="C89" s="32">
        <f>B23</f>
        <v>-4.9006206424397963E-3</v>
      </c>
      <c r="D89" s="33">
        <f>C89</f>
        <v>-4.9006206424397963E-3</v>
      </c>
      <c r="E89" s="33">
        <f t="shared" ref="E89:L89" si="58">D89</f>
        <v>-4.9006206424397963E-3</v>
      </c>
      <c r="F89" s="33">
        <f t="shared" si="58"/>
        <v>-4.9006206424397963E-3</v>
      </c>
      <c r="G89" s="33">
        <f t="shared" si="58"/>
        <v>-4.9006206424397963E-3</v>
      </c>
      <c r="H89" s="33">
        <f t="shared" si="58"/>
        <v>-4.9006206424397963E-3</v>
      </c>
      <c r="I89" s="33">
        <f t="shared" si="58"/>
        <v>-4.9006206424397963E-3</v>
      </c>
      <c r="J89" s="33">
        <f t="shared" si="58"/>
        <v>-4.9006206424397963E-3</v>
      </c>
      <c r="K89" s="33">
        <f t="shared" si="58"/>
        <v>-4.9006206424397963E-3</v>
      </c>
      <c r="L89" s="33">
        <f t="shared" si="58"/>
        <v>-4.9006206424397963E-3</v>
      </c>
      <c r="M89" s="49">
        <f>D23</f>
        <v>1.2082579974031019E-2</v>
      </c>
    </row>
    <row r="90" spans="1:13" x14ac:dyDescent="0.2">
      <c r="A90" s="13" t="str">
        <f>A24</f>
        <v>Capital Expenditures (CAPEX)</v>
      </c>
      <c r="B90" s="13"/>
      <c r="C90" s="127">
        <f>C91*C39</f>
        <v>3337.834817590428</v>
      </c>
      <c r="D90" s="149">
        <f t="shared" ref="D90:L90" si="59">D91*D39</f>
        <v>3516.6049469379336</v>
      </c>
      <c r="E90" s="149">
        <f t="shared" si="59"/>
        <v>3705.5129866990601</v>
      </c>
      <c r="F90" s="149">
        <f t="shared" si="59"/>
        <v>3905.1521736669906</v>
      </c>
      <c r="G90" s="149">
        <f t="shared" si="59"/>
        <v>4116.151152909043</v>
      </c>
      <c r="H90" s="149">
        <f t="shared" si="59"/>
        <v>4339.1761237948485</v>
      </c>
      <c r="I90" s="149">
        <f t="shared" si="59"/>
        <v>4574.9331179122701</v>
      </c>
      <c r="J90" s="149">
        <f t="shared" si="59"/>
        <v>4824.1704170875046</v>
      </c>
      <c r="K90" s="149">
        <f t="shared" si="59"/>
        <v>5087.681120244657</v>
      </c>
      <c r="L90" s="149">
        <f t="shared" si="59"/>
        <v>5366.3058683921854</v>
      </c>
      <c r="M90" s="48"/>
    </row>
    <row r="91" spans="1:13" ht="16" thickBot="1" x14ac:dyDescent="0.25">
      <c r="A91" s="96" t="s">
        <v>168</v>
      </c>
      <c r="B91" s="96"/>
      <c r="C91" s="136">
        <f>B24</f>
        <v>2.4558362706981533E-2</v>
      </c>
      <c r="D91" s="97">
        <f>C91</f>
        <v>2.4558362706981533E-2</v>
      </c>
      <c r="E91" s="97">
        <f t="shared" ref="E91:L91" si="60">D91</f>
        <v>2.4558362706981533E-2</v>
      </c>
      <c r="F91" s="97">
        <f t="shared" si="60"/>
        <v>2.4558362706981533E-2</v>
      </c>
      <c r="G91" s="97">
        <f t="shared" si="60"/>
        <v>2.4558362706981533E-2</v>
      </c>
      <c r="H91" s="97">
        <f t="shared" si="60"/>
        <v>2.4558362706981533E-2</v>
      </c>
      <c r="I91" s="97">
        <f t="shared" si="60"/>
        <v>2.4558362706981533E-2</v>
      </c>
      <c r="J91" s="97">
        <f t="shared" si="60"/>
        <v>2.4558362706981533E-2</v>
      </c>
      <c r="K91" s="97">
        <f t="shared" si="60"/>
        <v>2.4558362706981533E-2</v>
      </c>
      <c r="L91" s="97">
        <f t="shared" si="60"/>
        <v>2.4558362706981533E-2</v>
      </c>
      <c r="M91" s="50">
        <f>D24</f>
        <v>6.7533592350091627E-3</v>
      </c>
    </row>
    <row r="92" spans="1:13" x14ac:dyDescent="0.2">
      <c r="C92" s="12"/>
    </row>
    <row r="93" spans="1:13" x14ac:dyDescent="0.2">
      <c r="A93" s="131" t="s">
        <v>170</v>
      </c>
      <c r="B93" s="131"/>
      <c r="C93" s="143">
        <f>C84-C88-C90</f>
        <v>1361.7989204349219</v>
      </c>
      <c r="D93" s="144">
        <f t="shared" ref="D93:L93" si="61">D84-D88-D90</f>
        <v>1438.7098960690569</v>
      </c>
      <c r="E93" s="144">
        <f t="shared" si="61"/>
        <v>1519.9824313420986</v>
      </c>
      <c r="F93" s="144">
        <f t="shared" si="61"/>
        <v>1605.8717502151908</v>
      </c>
      <c r="G93" s="144">
        <f t="shared" si="61"/>
        <v>1696.6483100943242</v>
      </c>
      <c r="H93" s="144">
        <f t="shared" si="61"/>
        <v>1792.5987251004972</v>
      </c>
      <c r="I93" s="144">
        <f t="shared" si="61"/>
        <v>1894.0267460809855</v>
      </c>
      <c r="J93" s="144">
        <f t="shared" si="61"/>
        <v>2001.2543008965031</v>
      </c>
      <c r="K93" s="144">
        <f t="shared" si="61"/>
        <v>2114.6225987426142</v>
      </c>
      <c r="L93" s="145">
        <f t="shared" si="61"/>
        <v>2199.1002386831042</v>
      </c>
    </row>
    <row r="94" spans="1:13" x14ac:dyDescent="0.2">
      <c r="A94" s="132" t="s">
        <v>171</v>
      </c>
      <c r="B94" s="132"/>
      <c r="C94" s="146">
        <f>C93/(1+$I$6)^C36</f>
        <v>1237.9990185772017</v>
      </c>
      <c r="D94" s="147">
        <f t="shared" ref="D94:K94" si="62">D93/(1+$I$6)^D36</f>
        <v>1189.0164430322782</v>
      </c>
      <c r="E94" s="147">
        <f t="shared" si="62"/>
        <v>1141.9852977776845</v>
      </c>
      <c r="F94" s="147">
        <f t="shared" si="62"/>
        <v>1096.8320129876308</v>
      </c>
      <c r="G94" s="147">
        <f t="shared" si="62"/>
        <v>1053.4851134698472</v>
      </c>
      <c r="H94" s="147">
        <f t="shared" si="62"/>
        <v>1011.8752473668682</v>
      </c>
      <c r="I94" s="147">
        <f t="shared" si="62"/>
        <v>971.93520089754657</v>
      </c>
      <c r="J94" s="147">
        <f t="shared" si="62"/>
        <v>933.59990104468875</v>
      </c>
      <c r="K94" s="147">
        <f t="shared" si="62"/>
        <v>896.80640788337689</v>
      </c>
      <c r="L94" s="148">
        <f>(L93*(1+I6)/(I6-I8)-K72)/(1+I6)^L36</f>
        <v>8982.3660689937988</v>
      </c>
    </row>
    <row r="97" spans="1:12" ht="16" thickBot="1" x14ac:dyDescent="0.25">
      <c r="A97" s="282" t="s">
        <v>188</v>
      </c>
      <c r="B97" s="282"/>
      <c r="C97" s="282"/>
    </row>
    <row r="98" spans="1:12" x14ac:dyDescent="0.2">
      <c r="A98" s="90" t="s">
        <v>189</v>
      </c>
      <c r="B98" s="160"/>
      <c r="C98" s="161">
        <f>SUM(C94:L94)</f>
        <v>18515.900712030925</v>
      </c>
    </row>
    <row r="99" spans="1:12" x14ac:dyDescent="0.2">
      <c r="A99" s="183" t="s">
        <v>190</v>
      </c>
      <c r="B99" s="184"/>
      <c r="C99" s="185">
        <f>VD!E103</f>
        <v>3379</v>
      </c>
    </row>
    <row r="100" spans="1:12" x14ac:dyDescent="0.2">
      <c r="A100" s="92" t="s">
        <v>191</v>
      </c>
      <c r="B100" s="37"/>
      <c r="C100" s="156">
        <f>SUM(C98:C99)</f>
        <v>21894.900712030925</v>
      </c>
    </row>
    <row r="101" spans="1:12" x14ac:dyDescent="0.2">
      <c r="A101" s="183" t="s">
        <v>192</v>
      </c>
      <c r="B101" s="184"/>
      <c r="C101" s="186">
        <f>VD!E91/1000</f>
        <v>441.26299999999998</v>
      </c>
    </row>
    <row r="102" spans="1:12" ht="16" thickBot="1" x14ac:dyDescent="0.25">
      <c r="A102" s="157" t="s">
        <v>193</v>
      </c>
      <c r="B102" s="172"/>
      <c r="C102" s="159">
        <f>C100/C101</f>
        <v>49.618709731001523</v>
      </c>
    </row>
    <row r="105" spans="1:12" ht="16" thickBot="1" x14ac:dyDescent="0.25">
      <c r="A105" s="280" t="s">
        <v>194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</row>
    <row r="106" spans="1:12" x14ac:dyDescent="0.2">
      <c r="A106" s="187" t="s">
        <v>143</v>
      </c>
      <c r="B106" s="188">
        <f>VD!E53</f>
        <v>26167</v>
      </c>
      <c r="C106" s="189">
        <f>B106+C90-C75</f>
        <v>28172.340685744053</v>
      </c>
      <c r="D106" s="189">
        <f t="shared" ref="D106:L106" si="63">C106+D90-D75</f>
        <v>30285.084833123477</v>
      </c>
      <c r="E106" s="189">
        <f t="shared" si="63"/>
        <v>32511.323206161022</v>
      </c>
      <c r="F106" s="189">
        <f t="shared" si="63"/>
        <v>34857.502980128847</v>
      </c>
      <c r="G106" s="189">
        <f t="shared" si="63"/>
        <v>37330.449014516351</v>
      </c>
      <c r="H106" s="189">
        <f t="shared" si="63"/>
        <v>39937.386415312169</v>
      </c>
      <c r="I106" s="189">
        <f t="shared" si="63"/>
        <v>42685.964465837227</v>
      </c>
      <c r="J106" s="189">
        <f t="shared" si="63"/>
        <v>45584.28201030221</v>
      </c>
      <c r="K106" s="189">
        <f t="shared" si="63"/>
        <v>48640.914379510839</v>
      </c>
      <c r="L106" s="190">
        <f t="shared" si="63"/>
        <v>51864.941953710106</v>
      </c>
    </row>
    <row r="107" spans="1:12" x14ac:dyDescent="0.2">
      <c r="A107" s="191" t="s">
        <v>141</v>
      </c>
      <c r="B107" s="192">
        <f>VD!E50</f>
        <v>-3736</v>
      </c>
      <c r="C107" s="193">
        <f>B107+C88</f>
        <v>-4402.0648514441791</v>
      </c>
      <c r="D107" s="193">
        <f t="shared" ref="D107:L107" si="64">C107+D88</f>
        <v>-5103.8032775718593</v>
      </c>
      <c r="E107" s="193">
        <f t="shared" si="64"/>
        <v>-5843.2382981436403</v>
      </c>
      <c r="F107" s="193">
        <f t="shared" si="64"/>
        <v>-6622.5113133068444</v>
      </c>
      <c r="G107" s="193">
        <f t="shared" si="64"/>
        <v>-7443.8891693157038</v>
      </c>
      <c r="H107" s="193">
        <f t="shared" si="64"/>
        <v>-8309.771652491414</v>
      </c>
      <c r="I107" s="193">
        <f t="shared" si="64"/>
        <v>-9222.6994377402534</v>
      </c>
      <c r="J107" s="193">
        <f t="shared" si="64"/>
        <v>-10185.362519587545</v>
      </c>
      <c r="K107" s="193">
        <f t="shared" si="64"/>
        <v>-11200.609155428387</v>
      </c>
      <c r="L107" s="194">
        <f t="shared" si="64"/>
        <v>-12271.455352549354</v>
      </c>
    </row>
    <row r="108" spans="1:12" x14ac:dyDescent="0.2">
      <c r="A108" s="195" t="s">
        <v>147</v>
      </c>
      <c r="B108" s="196">
        <f>SUM(B106:B107)</f>
        <v>22431</v>
      </c>
      <c r="C108" s="196">
        <f t="shared" ref="C108:L108" si="65">SUM(C106:C107)</f>
        <v>23770.275834299875</v>
      </c>
      <c r="D108" s="196">
        <f t="shared" si="65"/>
        <v>25181.281555551617</v>
      </c>
      <c r="E108" s="196">
        <f t="shared" si="65"/>
        <v>26668.084908017379</v>
      </c>
      <c r="F108" s="196">
        <f t="shared" si="65"/>
        <v>28234.991666822003</v>
      </c>
      <c r="G108" s="196">
        <f t="shared" si="65"/>
        <v>29886.559845200645</v>
      </c>
      <c r="H108" s="196">
        <f t="shared" si="65"/>
        <v>31627.614762820755</v>
      </c>
      <c r="I108" s="196">
        <f t="shared" si="65"/>
        <v>33463.265028096976</v>
      </c>
      <c r="J108" s="196">
        <f t="shared" si="65"/>
        <v>35398.919490714667</v>
      </c>
      <c r="K108" s="196">
        <f t="shared" si="65"/>
        <v>37440.305224082455</v>
      </c>
      <c r="L108" s="197">
        <f t="shared" si="65"/>
        <v>39593.486601160752</v>
      </c>
    </row>
    <row r="109" spans="1:12" x14ac:dyDescent="0.2">
      <c r="A109" s="191" t="s">
        <v>183</v>
      </c>
      <c r="B109" s="198"/>
      <c r="C109" s="199">
        <f>C93/C108</f>
        <v>5.7289992338661985E-2</v>
      </c>
      <c r="D109" s="199">
        <f t="shared" ref="D109:L109" si="66">D93/D108</f>
        <v>5.7134101491028766E-2</v>
      </c>
      <c r="E109" s="199">
        <f t="shared" si="66"/>
        <v>5.6996309880697038E-2</v>
      </c>
      <c r="F109" s="199">
        <f t="shared" si="66"/>
        <v>5.6875233722919673E-2</v>
      </c>
      <c r="G109" s="199">
        <f t="shared" si="66"/>
        <v>5.67696087767285E-2</v>
      </c>
      <c r="H109" s="199">
        <f t="shared" si="66"/>
        <v>5.667827746554422E-2</v>
      </c>
      <c r="I109" s="199">
        <f t="shared" si="66"/>
        <v>5.6600177672163542E-2</v>
      </c>
      <c r="J109" s="199">
        <f t="shared" si="66"/>
        <v>5.6534332959553839E-2</v>
      </c>
      <c r="K109" s="199">
        <f t="shared" si="66"/>
        <v>5.6479844009990628E-2</v>
      </c>
      <c r="L109" s="200">
        <f t="shared" si="66"/>
        <v>5.5541969840530128E-2</v>
      </c>
    </row>
    <row r="110" spans="1:12" x14ac:dyDescent="0.2">
      <c r="A110" s="191" t="s">
        <v>184</v>
      </c>
      <c r="B110" s="198"/>
      <c r="C110" s="199">
        <f>C93/C39</f>
        <v>1.0019534713272446E-2</v>
      </c>
      <c r="D110" s="199">
        <f t="shared" ref="D110:L110" si="67">D93/D39</f>
        <v>1.0047292769849817E-2</v>
      </c>
      <c r="E110" s="199">
        <f t="shared" si="67"/>
        <v>1.007371448734056E-2</v>
      </c>
      <c r="F110" s="199">
        <f t="shared" si="67"/>
        <v>1.0098858930162376E-2</v>
      </c>
      <c r="G110" s="199">
        <f t="shared" si="67"/>
        <v>1.0122782919678757E-2</v>
      </c>
      <c r="H110" s="199">
        <f t="shared" si="67"/>
        <v>1.0145541094236548E-2</v>
      </c>
      <c r="I110" s="199">
        <f t="shared" si="67"/>
        <v>1.016718596931253E-2</v>
      </c>
      <c r="J110" s="199">
        <f t="shared" si="67"/>
        <v>1.0187767997631167E-2</v>
      </c>
      <c r="K110" s="199">
        <f t="shared" si="67"/>
        <v>1.0207335629125217E-2</v>
      </c>
      <c r="L110" s="200">
        <f t="shared" si="67"/>
        <v>1.0063962549859334E-2</v>
      </c>
    </row>
    <row r="111" spans="1:12" x14ac:dyDescent="0.2">
      <c r="A111" s="191" t="s">
        <v>185</v>
      </c>
      <c r="B111" s="198"/>
      <c r="C111" s="201">
        <f>C106/C39</f>
        <v>0.20728004789782001</v>
      </c>
      <c r="D111" s="201">
        <f t="shared" ref="D111:L111" si="68">D106/D39</f>
        <v>0.21149719947677662</v>
      </c>
      <c r="E111" s="201">
        <f t="shared" si="68"/>
        <v>0.21546945598268158</v>
      </c>
      <c r="F111" s="201">
        <f t="shared" si="68"/>
        <v>0.21920866669885947</v>
      </c>
      <c r="G111" s="201">
        <f t="shared" si="68"/>
        <v>0.22272620048587227</v>
      </c>
      <c r="H111" s="201">
        <f t="shared" si="68"/>
        <v>0.22603295952374305</v>
      </c>
      <c r="I111" s="201">
        <f t="shared" si="68"/>
        <v>0.22913939304269809</v>
      </c>
      <c r="J111" s="201">
        <f t="shared" si="68"/>
        <v>0.23205551101202507</v>
      </c>
      <c r="K111" s="201">
        <f t="shared" si="68"/>
        <v>0.23479089775850917</v>
      </c>
      <c r="L111" s="202">
        <f t="shared" si="68"/>
        <v>0.23735472548779232</v>
      </c>
    </row>
    <row r="112" spans="1:12" ht="16" thickBot="1" x14ac:dyDescent="0.25">
      <c r="A112" s="203" t="s">
        <v>186</v>
      </c>
      <c r="B112" s="204"/>
      <c r="C112" s="205">
        <f>C106/C108</f>
        <v>1.1851919970189035</v>
      </c>
      <c r="D112" s="205">
        <f t="shared" ref="D112:L112" si="69">D106/D108</f>
        <v>1.2026824276720198</v>
      </c>
      <c r="E112" s="205">
        <f t="shared" si="69"/>
        <v>1.2191097830345874</v>
      </c>
      <c r="F112" s="205">
        <f t="shared" si="69"/>
        <v>1.2345497881300507</v>
      </c>
      <c r="G112" s="205">
        <f t="shared" si="69"/>
        <v>1.2490714624858734</v>
      </c>
      <c r="H112" s="205">
        <f t="shared" si="69"/>
        <v>1.2627378547135906</v>
      </c>
      <c r="I112" s="205">
        <f t="shared" si="69"/>
        <v>1.2756066818344396</v>
      </c>
      <c r="J112" s="205">
        <f t="shared" si="69"/>
        <v>1.2877308874430256</v>
      </c>
      <c r="K112" s="205">
        <f t="shared" si="69"/>
        <v>1.2991591304716152</v>
      </c>
      <c r="L112" s="206">
        <f t="shared" si="69"/>
        <v>1.309936214412337</v>
      </c>
    </row>
  </sheetData>
  <mergeCells count="9">
    <mergeCell ref="A7:E7"/>
    <mergeCell ref="A97:C97"/>
    <mergeCell ref="G5:I5"/>
    <mergeCell ref="O21:Q21"/>
    <mergeCell ref="H12:K12"/>
    <mergeCell ref="L12:O12"/>
    <mergeCell ref="G11:O11"/>
    <mergeCell ref="A105:L105"/>
    <mergeCell ref="A35:L35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VD!B36:F36</xm:f>
              <xm:sqref>O14</xm:sqref>
            </x14:sparkline>
            <x14:sparkline>
              <xm:f>VD!B37:F37</xm:f>
              <xm:sqref>O15</xm:sqref>
            </x14:sparkline>
            <x14:sparkline>
              <xm:f>VD!B38:F38</xm:f>
              <xm:sqref>O16</xm:sqref>
            </x14:sparkline>
            <x14:sparkline>
              <xm:f>VD!B39:F39</xm:f>
              <xm:sqref>O17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'P-DCF'!C109:L109</xm:f>
              <xm:sqref>K14</xm:sqref>
            </x14:sparkline>
            <x14:sparkline>
              <xm:f>'P-DCF'!C110:L110</xm:f>
              <xm:sqref>K15</xm:sqref>
            </x14:sparkline>
            <x14:sparkline>
              <xm:f>'P-DCF'!C111:L111</xm:f>
              <xm:sqref>K16</xm:sqref>
            </x14:sparkline>
            <x14:sparkline>
              <xm:f>'P-DCF'!C112:L112</xm:f>
              <xm:sqref>K17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VD!C33:F33</xm:f>
              <xm:sqref>E24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VD!C32:F32</xm:f>
              <xm:sqref>E23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VD!B29:F29</xm:f>
              <xm:sqref>E21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VD!B28:F28</xm:f>
              <xm:sqref>E20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VD!B25:F25</xm:f>
              <xm:sqref>E19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VD!B24:F24</xm:f>
              <xm:sqref>E18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VD!B23:F23</xm:f>
              <xm:sqref>E17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VD!B18:F18</xm:f>
              <xm:sqref>E15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VD!B17:F17</xm:f>
              <xm:sqref>E14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VD!B16:F16</xm:f>
              <xm:sqref>E13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RG!C19:F19</xm:f>
              <xm:sqref>E11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RG!C16:F16</xm:f>
              <xm:sqref>E10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RG!C13:F13</xm:f>
              <xm:sqref>E9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85" zoomScaleNormal="55" zoomScalePageLayoutView="55" workbookViewId="0">
      <selection activeCell="P10" sqref="P10"/>
    </sheetView>
  </sheetViews>
  <sheetFormatPr baseColWidth="10" defaultColWidth="11.5" defaultRowHeight="15" x14ac:dyDescent="0.2"/>
  <cols>
    <col min="1" max="1" width="48" bestFit="1" customWidth="1"/>
    <col min="3" max="3" width="12.33203125" bestFit="1" customWidth="1"/>
    <col min="8" max="11" width="12.6640625" bestFit="1" customWidth="1"/>
  </cols>
  <sheetData>
    <row r="1" spans="1:15" x14ac:dyDescent="0.2">
      <c r="A1" s="1" t="s">
        <v>3</v>
      </c>
    </row>
    <row r="2" spans="1:15" x14ac:dyDescent="0.2">
      <c r="A2" s="1" t="s">
        <v>2</v>
      </c>
    </row>
    <row r="3" spans="1:15" x14ac:dyDescent="0.2">
      <c r="A3" s="1" t="s">
        <v>248</v>
      </c>
    </row>
    <row r="4" spans="1:15" x14ac:dyDescent="0.2">
      <c r="A4" s="1" t="s">
        <v>117</v>
      </c>
    </row>
    <row r="5" spans="1:15" ht="16" thickBot="1" x14ac:dyDescent="0.25">
      <c r="A5" s="1" t="s">
        <v>1</v>
      </c>
      <c r="G5" s="279" t="s">
        <v>173</v>
      </c>
      <c r="H5" s="279"/>
      <c r="I5" s="279"/>
    </row>
    <row r="6" spans="1:15" x14ac:dyDescent="0.2">
      <c r="G6" s="90" t="s">
        <v>174</v>
      </c>
      <c r="H6" s="160"/>
      <c r="I6" s="210">
        <v>0.1</v>
      </c>
    </row>
    <row r="7" spans="1:15" ht="16" thickBot="1" x14ac:dyDescent="0.25">
      <c r="A7" s="282" t="s">
        <v>102</v>
      </c>
      <c r="B7" s="282"/>
      <c r="C7" s="282"/>
      <c r="D7" s="282"/>
      <c r="E7" s="282"/>
      <c r="G7" s="92" t="s">
        <v>175</v>
      </c>
      <c r="H7" s="37"/>
      <c r="I7" s="269">
        <v>8.7999999999999995E-2</v>
      </c>
    </row>
    <row r="8" spans="1:15" ht="16" thickBot="1" x14ac:dyDescent="0.25">
      <c r="A8" s="116" t="s">
        <v>154</v>
      </c>
      <c r="B8" s="117" t="s">
        <v>87</v>
      </c>
      <c r="C8" s="117" t="s">
        <v>84</v>
      </c>
      <c r="D8" s="117" t="s">
        <v>85</v>
      </c>
      <c r="E8" s="118" t="s">
        <v>149</v>
      </c>
      <c r="G8" s="157" t="s">
        <v>176</v>
      </c>
      <c r="H8" s="172"/>
      <c r="I8" s="207">
        <v>1.4999999999999999E-2</v>
      </c>
    </row>
    <row r="9" spans="1:15" x14ac:dyDescent="0.2">
      <c r="A9" s="92" t="str">
        <f>RG!A12</f>
        <v>United States Operations</v>
      </c>
      <c r="B9" s="93">
        <v>8.4400000000000003E-2</v>
      </c>
      <c r="C9" s="93">
        <f>RG!G13</f>
        <v>5.6250585510557283E-2</v>
      </c>
      <c r="D9" s="93">
        <f>RG!H13</f>
        <v>1.9834015703874136E-2</v>
      </c>
      <c r="E9" s="156"/>
    </row>
    <row r="10" spans="1:15" x14ac:dyDescent="0.2">
      <c r="A10" s="92" t="str">
        <f>RG!A15</f>
        <v>Canadian Operations</v>
      </c>
      <c r="B10" s="93">
        <v>0.06</v>
      </c>
      <c r="C10" s="93">
        <f>RG!G16</f>
        <v>2.3867057644578915E-2</v>
      </c>
      <c r="D10" s="93">
        <f>RG!H16</f>
        <v>4.1305847320745104E-2</v>
      </c>
      <c r="E10" s="156"/>
    </row>
    <row r="11" spans="1:15" ht="16" thickBot="1" x14ac:dyDescent="0.25">
      <c r="A11" s="167" t="str">
        <f>RG!A18</f>
        <v>Other International Operations</v>
      </c>
      <c r="B11" s="168">
        <v>0.08</v>
      </c>
      <c r="C11" s="168">
        <f>RG!G19</f>
        <v>7.0898597572781275E-2</v>
      </c>
      <c r="D11" s="168">
        <f>RG!H19</f>
        <v>6.3340694872701109E-2</v>
      </c>
      <c r="E11" s="169"/>
      <c r="G11" s="279" t="s">
        <v>127</v>
      </c>
      <c r="H11" s="279"/>
      <c r="I11" s="279"/>
      <c r="J11" s="279"/>
      <c r="K11" s="279"/>
      <c r="L11" s="279"/>
      <c r="M11" s="279"/>
      <c r="N11" s="279"/>
      <c r="O11" s="279"/>
    </row>
    <row r="12" spans="1:15" x14ac:dyDescent="0.2">
      <c r="A12" s="36" t="s">
        <v>155</v>
      </c>
      <c r="B12" s="37"/>
      <c r="C12" s="37"/>
      <c r="D12" s="37"/>
      <c r="E12" s="156"/>
      <c r="G12" s="90"/>
      <c r="H12" s="276" t="s">
        <v>181</v>
      </c>
      <c r="I12" s="276"/>
      <c r="J12" s="276"/>
      <c r="K12" s="277"/>
      <c r="L12" s="276" t="s">
        <v>182</v>
      </c>
      <c r="M12" s="276"/>
      <c r="N12" s="276"/>
      <c r="O12" s="278"/>
    </row>
    <row r="13" spans="1:15" x14ac:dyDescent="0.2">
      <c r="A13" s="92" t="str">
        <f>VD!A16</f>
        <v>Merchandise costs, Net D&amp;A</v>
      </c>
      <c r="B13" s="93">
        <v>0.85</v>
      </c>
      <c r="C13" s="93">
        <f>VD!G16</f>
        <v>0.86062483623861596</v>
      </c>
      <c r="D13" s="93">
        <f>VD!H16</f>
        <v>4.3725479093434808E-3</v>
      </c>
      <c r="E13" s="156"/>
      <c r="G13" s="92"/>
      <c r="H13" s="37" t="s">
        <v>151</v>
      </c>
      <c r="I13" s="37" t="s">
        <v>152</v>
      </c>
      <c r="J13" s="37" t="s">
        <v>153</v>
      </c>
      <c r="K13" s="208" t="s">
        <v>149</v>
      </c>
      <c r="L13" s="37" t="s">
        <v>151</v>
      </c>
      <c r="M13" s="37" t="s">
        <v>152</v>
      </c>
      <c r="N13" s="37" t="s">
        <v>153</v>
      </c>
      <c r="O13" s="156" t="s">
        <v>149</v>
      </c>
    </row>
    <row r="14" spans="1:15" x14ac:dyDescent="0.2">
      <c r="A14" s="92" t="str">
        <f>VD!A17</f>
        <v>Selling, general and administrative</v>
      </c>
      <c r="B14" s="93">
        <v>0.09</v>
      </c>
      <c r="C14" s="93">
        <f>VD!G17</f>
        <v>9.8672034459918651E-2</v>
      </c>
      <c r="D14" s="93">
        <f>VD!H17</f>
        <v>2.4857719296725654E-3</v>
      </c>
      <c r="E14" s="156"/>
      <c r="G14" s="92" t="s">
        <v>183</v>
      </c>
      <c r="H14" s="93">
        <f>MIN(C109:L109)</f>
        <v>0.13389895869377635</v>
      </c>
      <c r="I14" s="93">
        <f>AVERAGE(C109:L109)</f>
        <v>0.1438242073799027</v>
      </c>
      <c r="J14" s="93">
        <f>MAX(C109:L109)</f>
        <v>0.15132118988405815</v>
      </c>
      <c r="K14" s="208"/>
      <c r="L14" s="93">
        <f>VD!G36</f>
        <v>0.10232188137025738</v>
      </c>
      <c r="M14" s="93">
        <f>VD!H36</f>
        <v>0.10976371184952208</v>
      </c>
      <c r="N14" s="93">
        <f>VD!I36</f>
        <v>0.1244307176883209</v>
      </c>
      <c r="O14" s="156"/>
    </row>
    <row r="15" spans="1:15" x14ac:dyDescent="0.2">
      <c r="A15" s="167" t="str">
        <f>VD!A18</f>
        <v>Preopening expenses</v>
      </c>
      <c r="B15" s="168">
        <f t="shared" ref="B15:B24" si="0">C15</f>
        <v>5.7924645256212759E-4</v>
      </c>
      <c r="C15" s="168">
        <f>VD!G18</f>
        <v>5.7924645256212759E-4</v>
      </c>
      <c r="D15" s="168">
        <f>VD!H18</f>
        <v>7.05487067068761E-5</v>
      </c>
      <c r="E15" s="169"/>
      <c r="G15" s="92" t="s">
        <v>184</v>
      </c>
      <c r="H15" s="93">
        <f t="shared" ref="H15:H17" si="1">MIN(C110:L110)</f>
        <v>2.2867616558817205E-2</v>
      </c>
      <c r="I15" s="93">
        <f t="shared" ref="I15:I17" si="2">AVERAGE(C110:L110)</f>
        <v>2.2991255211612625E-2</v>
      </c>
      <c r="J15" s="93">
        <f t="shared" ref="J15:J17" si="3">MAX(C110:L110)</f>
        <v>2.3113631242011008E-2</v>
      </c>
      <c r="K15" s="208"/>
      <c r="L15" s="93">
        <f>VD!G37</f>
        <v>1.8270596590908975E-2</v>
      </c>
      <c r="M15" s="93">
        <f>VD!H37</f>
        <v>1.9477940795130884E-2</v>
      </c>
      <c r="N15" s="93">
        <f>VD!I37</f>
        <v>2.0456286198676357E-2</v>
      </c>
      <c r="O15" s="156"/>
    </row>
    <row r="16" spans="1:15" x14ac:dyDescent="0.2">
      <c r="A16" s="36" t="s">
        <v>120</v>
      </c>
      <c r="B16" s="37"/>
      <c r="C16" s="37"/>
      <c r="D16" s="37"/>
      <c r="E16" s="156"/>
      <c r="G16" s="92" t="s">
        <v>185</v>
      </c>
      <c r="H16" s="152">
        <f t="shared" si="1"/>
        <v>0.20008802191854783</v>
      </c>
      <c r="I16" s="152">
        <f t="shared" si="2"/>
        <v>0.20123086165493689</v>
      </c>
      <c r="J16" s="152">
        <f t="shared" si="3"/>
        <v>0.2024867851627265</v>
      </c>
      <c r="K16" s="208"/>
      <c r="L16" s="152">
        <f>VD!G38</f>
        <v>0.19991251093613299</v>
      </c>
      <c r="M16" s="152">
        <f>VD!H38</f>
        <v>0.20631985262914473</v>
      </c>
      <c r="N16" s="152">
        <f>VD!I38</f>
        <v>0.22041122314035663</v>
      </c>
      <c r="O16" s="156"/>
    </row>
    <row r="17" spans="1:17" ht="16" thickBot="1" x14ac:dyDescent="0.25">
      <c r="A17" s="92" t="str">
        <f>VD!A23</f>
        <v>Interest expense as % of Total Debt</v>
      </c>
      <c r="B17" s="93">
        <f t="shared" si="0"/>
        <v>2.1620095844034161E-2</v>
      </c>
      <c r="C17" s="93">
        <f>VD!G23</f>
        <v>2.1620095844034161E-2</v>
      </c>
      <c r="D17" s="93">
        <f>VD!H23</f>
        <v>2.7234702076473546E-3</v>
      </c>
      <c r="E17" s="156"/>
      <c r="G17" s="157" t="s">
        <v>186</v>
      </c>
      <c r="H17" s="158">
        <f t="shared" si="1"/>
        <v>1.1856403842002261</v>
      </c>
      <c r="I17" s="158">
        <f t="shared" si="2"/>
        <v>1.2585304718211949</v>
      </c>
      <c r="J17" s="158">
        <f t="shared" si="3"/>
        <v>1.3222535839651486</v>
      </c>
      <c r="K17" s="209"/>
      <c r="L17" s="158">
        <f>VD!G39</f>
        <v>1.1086967986920522</v>
      </c>
      <c r="M17" s="158">
        <f>VD!H39</f>
        <v>1.1603476559923596</v>
      </c>
      <c r="N17" s="158">
        <f>VD!I39</f>
        <v>1.2387583102130555</v>
      </c>
      <c r="O17" s="159"/>
    </row>
    <row r="18" spans="1:17" ht="16" thickBot="1" x14ac:dyDescent="0.25">
      <c r="A18" s="92" t="str">
        <f>VD!A24</f>
        <v>Interest income and other, net as % of Rev</v>
      </c>
      <c r="B18" s="93">
        <f>C18</f>
        <v>-7.5416963722480662E-4</v>
      </c>
      <c r="C18" s="93">
        <f>VD!G24</f>
        <v>-7.5416963722480662E-4</v>
      </c>
      <c r="D18" s="93">
        <f>VD!H24</f>
        <v>1.1238653145296337E-4</v>
      </c>
      <c r="E18" s="156"/>
      <c r="G18" s="203" t="s">
        <v>187</v>
      </c>
      <c r="H18" s="206">
        <f>L94/C98</f>
        <v>0.55108744199336768</v>
      </c>
    </row>
    <row r="19" spans="1:17" x14ac:dyDescent="0.2">
      <c r="A19" s="92" t="str">
        <f>VD!A25</f>
        <v>Depreciation &amp; Amortization as % of Rev</v>
      </c>
      <c r="B19" s="93">
        <f t="shared" si="0"/>
        <v>9.8039225974732337E-3</v>
      </c>
      <c r="C19" s="93">
        <f>VD!G25</f>
        <v>9.8039225974732337E-3</v>
      </c>
      <c r="D19" s="93">
        <f>VD!H25</f>
        <v>7.1496877963147371E-4</v>
      </c>
      <c r="E19" s="156"/>
    </row>
    <row r="20" spans="1:17" x14ac:dyDescent="0.2">
      <c r="A20" s="92" t="str">
        <f>VD!A28</f>
        <v>Provision for income taxes (as % of EBT)</v>
      </c>
      <c r="B20" s="93">
        <f t="shared" si="0"/>
        <v>0.3348928106324055</v>
      </c>
      <c r="C20" s="93">
        <f>VD!G28</f>
        <v>0.3348928106324055</v>
      </c>
      <c r="D20" s="93">
        <f>VD!H28</f>
        <v>1.0408472966511508E-2</v>
      </c>
      <c r="E20" s="156"/>
    </row>
    <row r="21" spans="1:17" ht="16" thickBot="1" x14ac:dyDescent="0.25">
      <c r="A21" s="167" t="str">
        <f>VD!A29</f>
        <v>Net income attributable to noncontrolling interests as % of Rev</v>
      </c>
      <c r="B21" s="168">
        <f t="shared" si="0"/>
        <v>2.4824152763800638E-4</v>
      </c>
      <c r="C21" s="168">
        <f>VD!G29</f>
        <v>2.4824152763800638E-4</v>
      </c>
      <c r="D21" s="168">
        <f>VD!H29</f>
        <v>3.3215998262595775E-5</v>
      </c>
      <c r="E21" s="169"/>
      <c r="O21" s="275" t="s">
        <v>177</v>
      </c>
      <c r="P21" s="275"/>
      <c r="Q21" s="275"/>
    </row>
    <row r="22" spans="1:17" x14ac:dyDescent="0.2">
      <c r="A22" s="36" t="s">
        <v>124</v>
      </c>
      <c r="B22" s="37"/>
      <c r="C22" s="37"/>
      <c r="D22" s="37"/>
      <c r="E22" s="156"/>
      <c r="O22" s="90" t="s">
        <v>178</v>
      </c>
      <c r="P22" s="160"/>
      <c r="Q22" s="236">
        <f>C102</f>
        <v>131.05188493165986</v>
      </c>
    </row>
    <row r="23" spans="1:17" x14ac:dyDescent="0.2">
      <c r="A23" s="92" t="str">
        <f>VD!A32</f>
        <v>Change in Working Capital</v>
      </c>
      <c r="B23" s="93">
        <f t="shared" si="0"/>
        <v>-4.9006206424397963E-3</v>
      </c>
      <c r="C23" s="93">
        <f>VD!G32</f>
        <v>-4.9006206424397963E-3</v>
      </c>
      <c r="D23" s="93">
        <f>VD!H32</f>
        <v>1.2082579974031019E-2</v>
      </c>
      <c r="E23" s="156"/>
      <c r="O23" s="92" t="s">
        <v>179</v>
      </c>
      <c r="P23" s="37"/>
      <c r="Q23" s="156">
        <v>157.49</v>
      </c>
    </row>
    <row r="24" spans="1:17" ht="16" thickBot="1" x14ac:dyDescent="0.25">
      <c r="A24" s="157" t="str">
        <f>VD!A33</f>
        <v>Capital Expenditures (CAPEX)</v>
      </c>
      <c r="B24" s="158">
        <f t="shared" si="0"/>
        <v>2.4558362706981533E-2</v>
      </c>
      <c r="C24" s="158">
        <f>VD!G33</f>
        <v>2.4558362706981533E-2</v>
      </c>
      <c r="D24" s="158">
        <f>VD!H33</f>
        <v>6.7533592350091627E-3</v>
      </c>
      <c r="E24" s="159"/>
      <c r="O24" s="157" t="s">
        <v>180</v>
      </c>
      <c r="P24" s="172"/>
      <c r="Q24" s="207">
        <f>Q22/Q23-1</f>
        <v>-0.16787170657400563</v>
      </c>
    </row>
    <row r="25" spans="1:17" x14ac:dyDescent="0.2">
      <c r="A25" s="164" t="s">
        <v>156</v>
      </c>
      <c r="B25" s="165" t="s">
        <v>87</v>
      </c>
      <c r="C25" s="165" t="s">
        <v>151</v>
      </c>
      <c r="D25" s="165" t="s">
        <v>152</v>
      </c>
      <c r="E25" s="166" t="s">
        <v>153</v>
      </c>
    </row>
    <row r="26" spans="1:17" ht="16" thickBot="1" x14ac:dyDescent="0.25">
      <c r="A26" s="162" t="s">
        <v>157</v>
      </c>
      <c r="B26" s="170">
        <v>1</v>
      </c>
      <c r="C26" s="163">
        <f>VD!G43</f>
        <v>0.87839303492362009</v>
      </c>
      <c r="D26" s="163">
        <f>VD!H43</f>
        <v>2.1085940280334432</v>
      </c>
      <c r="E26" s="171">
        <f>VD!I43</f>
        <v>3.7392253543153839</v>
      </c>
    </row>
    <row r="35" spans="1:13" ht="16" thickBot="1" x14ac:dyDescent="0.25">
      <c r="A35" s="281" t="s">
        <v>195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</row>
    <row r="36" spans="1:13" x14ac:dyDescent="0.2">
      <c r="A36" s="173" t="s">
        <v>158</v>
      </c>
      <c r="B36" s="174"/>
      <c r="C36" s="175">
        <v>1</v>
      </c>
      <c r="D36" s="174">
        <v>2</v>
      </c>
      <c r="E36" s="174">
        <v>3</v>
      </c>
      <c r="F36" s="174">
        <v>4</v>
      </c>
      <c r="G36" s="174">
        <v>5</v>
      </c>
      <c r="H36" s="174">
        <v>6</v>
      </c>
      <c r="I36" s="174">
        <v>7</v>
      </c>
      <c r="J36" s="174">
        <v>8</v>
      </c>
      <c r="K36" s="174">
        <v>9</v>
      </c>
      <c r="L36" s="176">
        <v>10</v>
      </c>
    </row>
    <row r="37" spans="1:13" ht="16" thickBot="1" x14ac:dyDescent="0.25">
      <c r="A37" s="177" t="s">
        <v>89</v>
      </c>
      <c r="B37" s="178">
        <v>2017</v>
      </c>
      <c r="C37" s="179" t="s">
        <v>91</v>
      </c>
      <c r="D37" s="180" t="s">
        <v>92</v>
      </c>
      <c r="E37" s="180" t="s">
        <v>93</v>
      </c>
      <c r="F37" s="180" t="s">
        <v>94</v>
      </c>
      <c r="G37" s="180" t="s">
        <v>95</v>
      </c>
      <c r="H37" s="180" t="s">
        <v>96</v>
      </c>
      <c r="I37" s="180" t="s">
        <v>97</v>
      </c>
      <c r="J37" s="180" t="s">
        <v>98</v>
      </c>
      <c r="K37" s="180" t="s">
        <v>99</v>
      </c>
      <c r="L37" s="181" t="s">
        <v>100</v>
      </c>
    </row>
    <row r="38" spans="1:13" x14ac:dyDescent="0.2">
      <c r="C38" s="12"/>
      <c r="M38" s="60" t="s">
        <v>148</v>
      </c>
    </row>
    <row r="39" spans="1:13" x14ac:dyDescent="0.2">
      <c r="A39" s="11" t="s">
        <v>159</v>
      </c>
      <c r="B39">
        <f>SUM(B43,B47,B51)</f>
        <v>129025</v>
      </c>
      <c r="C39" s="127">
        <f>SUM(C43,C47,C51)</f>
        <v>139384.6116</v>
      </c>
      <c r="D39" s="126">
        <f t="shared" ref="D39:L39" si="4">SUM(D43,D47,D51)</f>
        <v>150585.32874704001</v>
      </c>
      <c r="E39" s="126">
        <f t="shared" si="4"/>
        <v>162696.03082753019</v>
      </c>
      <c r="F39" s="126">
        <f t="shared" si="4"/>
        <v>175791.27483827295</v>
      </c>
      <c r="G39" s="126">
        <f t="shared" si="4"/>
        <v>189951.76569102952</v>
      </c>
      <c r="H39" s="126">
        <f t="shared" si="4"/>
        <v>205264.86561867417</v>
      </c>
      <c r="I39" s="126">
        <f t="shared" si="4"/>
        <v>221825.14594286485</v>
      </c>
      <c r="J39" s="126">
        <f t="shared" si="4"/>
        <v>239734.98473550554</v>
      </c>
      <c r="K39" s="126">
        <f t="shared" si="4"/>
        <v>259105.21420140902</v>
      </c>
      <c r="L39" s="126">
        <f t="shared" si="4"/>
        <v>280055.82192940137</v>
      </c>
      <c r="M39" s="48"/>
    </row>
    <row r="40" spans="1:13" x14ac:dyDescent="0.2">
      <c r="A40" s="134" t="s">
        <v>160</v>
      </c>
      <c r="B40" s="134"/>
      <c r="C40" s="32">
        <f>C39/B39-1</f>
        <v>8.0291506297229143E-2</v>
      </c>
      <c r="D40" s="137">
        <f t="shared" ref="D40:L40" si="5">D39/C39-1</f>
        <v>8.0358348159575543E-2</v>
      </c>
      <c r="E40" s="137">
        <f t="shared" si="5"/>
        <v>8.0424183293674512E-2</v>
      </c>
      <c r="F40" s="137">
        <f t="shared" si="5"/>
        <v>8.0489019579246479E-2</v>
      </c>
      <c r="G40" s="137">
        <f t="shared" si="5"/>
        <v>8.0552865128170614E-2</v>
      </c>
      <c r="H40" s="137">
        <f t="shared" si="5"/>
        <v>8.0615728271526299E-2</v>
      </c>
      <c r="I40" s="137">
        <f t="shared" si="5"/>
        <v>8.0677617546858427E-2</v>
      </c>
      <c r="J40" s="137">
        <f t="shared" si="5"/>
        <v>8.0738541685682952E-2</v>
      </c>
      <c r="K40" s="137">
        <f t="shared" si="5"/>
        <v>8.0798509601234247E-2</v>
      </c>
      <c r="L40" s="137">
        <f t="shared" si="5"/>
        <v>8.0857530376470699E-2</v>
      </c>
      <c r="M40" s="49">
        <f>VD!H13</f>
        <v>2.6181836462256285E-2</v>
      </c>
    </row>
    <row r="41" spans="1:13" x14ac:dyDescent="0.2">
      <c r="C41" s="12"/>
      <c r="M41" s="48"/>
    </row>
    <row r="42" spans="1:13" x14ac:dyDescent="0.2">
      <c r="A42" s="11" t="s">
        <v>161</v>
      </c>
      <c r="C42" s="12"/>
      <c r="M42" s="48"/>
    </row>
    <row r="43" spans="1:13" x14ac:dyDescent="0.2">
      <c r="A43" s="131" t="str">
        <f>A9</f>
        <v>United States Operations</v>
      </c>
      <c r="B43" s="131">
        <f>RG!B28</f>
        <v>93889</v>
      </c>
      <c r="C43" s="143">
        <f>B43*(1+C44)</f>
        <v>101813.2316</v>
      </c>
      <c r="D43" s="144">
        <f t="shared" ref="D43:L43" si="6">C43*(1+D44)</f>
        <v>110406.26834704001</v>
      </c>
      <c r="E43" s="144">
        <f t="shared" si="6"/>
        <v>119724.5573955302</v>
      </c>
      <c r="F43" s="144">
        <f t="shared" si="6"/>
        <v>129829.31003971295</v>
      </c>
      <c r="G43" s="144">
        <f t="shared" si="6"/>
        <v>140786.90380706472</v>
      </c>
      <c r="H43" s="144">
        <f t="shared" si="6"/>
        <v>152669.31848838099</v>
      </c>
      <c r="I43" s="144">
        <f t="shared" si="6"/>
        <v>165554.60896880034</v>
      </c>
      <c r="J43" s="144">
        <f t="shared" si="6"/>
        <v>179527.41796576709</v>
      </c>
      <c r="K43" s="144">
        <f t="shared" si="6"/>
        <v>194679.53204207783</v>
      </c>
      <c r="L43" s="144">
        <f t="shared" si="6"/>
        <v>211110.48454642922</v>
      </c>
      <c r="M43" s="48"/>
    </row>
    <row r="44" spans="1:13" x14ac:dyDescent="0.2">
      <c r="A44" s="30" t="s">
        <v>160</v>
      </c>
      <c r="B44" s="30"/>
      <c r="C44" s="32">
        <f>B9</f>
        <v>8.4400000000000003E-2</v>
      </c>
      <c r="D44" s="33">
        <f>C44</f>
        <v>8.4400000000000003E-2</v>
      </c>
      <c r="E44" s="33">
        <f t="shared" ref="E44:L44" si="7">D44</f>
        <v>8.4400000000000003E-2</v>
      </c>
      <c r="F44" s="33">
        <f t="shared" si="7"/>
        <v>8.4400000000000003E-2</v>
      </c>
      <c r="G44" s="33">
        <f t="shared" si="7"/>
        <v>8.4400000000000003E-2</v>
      </c>
      <c r="H44" s="33">
        <f t="shared" si="7"/>
        <v>8.4400000000000003E-2</v>
      </c>
      <c r="I44" s="33">
        <f t="shared" si="7"/>
        <v>8.4400000000000003E-2</v>
      </c>
      <c r="J44" s="33">
        <f t="shared" si="7"/>
        <v>8.4400000000000003E-2</v>
      </c>
      <c r="K44" s="33">
        <f t="shared" si="7"/>
        <v>8.4400000000000003E-2</v>
      </c>
      <c r="L44" s="33">
        <f t="shared" si="7"/>
        <v>8.4400000000000003E-2</v>
      </c>
      <c r="M44" s="49">
        <f>D9</f>
        <v>1.9834015703874136E-2</v>
      </c>
    </row>
    <row r="45" spans="1:13" x14ac:dyDescent="0.2">
      <c r="A45" s="30" t="s">
        <v>168</v>
      </c>
      <c r="B45" s="30"/>
      <c r="C45" s="32">
        <f>C43/C39</f>
        <v>0.73044814941393432</v>
      </c>
      <c r="D45" s="33">
        <f t="shared" ref="D45:L45" si="8">D43/D39</f>
        <v>0.73318077707626761</v>
      </c>
      <c r="E45" s="33">
        <f t="shared" si="8"/>
        <v>0.73587878442128107</v>
      </c>
      <c r="F45" s="33">
        <f t="shared" si="8"/>
        <v>0.73854240012284589</v>
      </c>
      <c r="G45" s="33">
        <f t="shared" si="8"/>
        <v>0.74117186168232285</v>
      </c>
      <c r="H45" s="33">
        <f t="shared" si="8"/>
        <v>0.74376741498468968</v>
      </c>
      <c r="I45" s="33">
        <f t="shared" si="8"/>
        <v>0.74632931386165735</v>
      </c>
      <c r="J45" s="33">
        <f t="shared" si="8"/>
        <v>0.74885781966214005</v>
      </c>
      <c r="K45" s="33">
        <f t="shared" si="8"/>
        <v>0.75135320083041057</v>
      </c>
      <c r="L45" s="33">
        <f t="shared" si="8"/>
        <v>0.75381573249224421</v>
      </c>
      <c r="M45" s="48"/>
    </row>
    <row r="46" spans="1:13" x14ac:dyDescent="0.2">
      <c r="A46" s="13"/>
      <c r="B46" s="13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48"/>
    </row>
    <row r="47" spans="1:13" x14ac:dyDescent="0.2">
      <c r="A47" s="13" t="str">
        <f>A10</f>
        <v>Canadian Operations</v>
      </c>
      <c r="B47" s="13">
        <f>RG!B31</f>
        <v>18775</v>
      </c>
      <c r="C47" s="127">
        <f>B47*(1+C48)</f>
        <v>19901.5</v>
      </c>
      <c r="D47" s="149">
        <f t="shared" ref="D47:L47" si="9">C47*(1+D48)</f>
        <v>21095.59</v>
      </c>
      <c r="E47" s="149">
        <f t="shared" si="9"/>
        <v>22361.325400000002</v>
      </c>
      <c r="F47" s="149">
        <f t="shared" si="9"/>
        <v>23703.004924000004</v>
      </c>
      <c r="G47" s="149">
        <f t="shared" si="9"/>
        <v>25125.185219440005</v>
      </c>
      <c r="H47" s="149">
        <f t="shared" si="9"/>
        <v>26632.696332606407</v>
      </c>
      <c r="I47" s="149">
        <f t="shared" si="9"/>
        <v>28230.658112562793</v>
      </c>
      <c r="J47" s="149">
        <f t="shared" si="9"/>
        <v>29924.497599316561</v>
      </c>
      <c r="K47" s="149">
        <f t="shared" si="9"/>
        <v>31719.967455275557</v>
      </c>
      <c r="L47" s="149">
        <f t="shared" si="9"/>
        <v>33623.165502592092</v>
      </c>
      <c r="M47" s="48"/>
    </row>
    <row r="48" spans="1:13" x14ac:dyDescent="0.2">
      <c r="A48" s="30" t="s">
        <v>160</v>
      </c>
      <c r="B48" s="30"/>
      <c r="C48" s="32">
        <f>B10</f>
        <v>0.06</v>
      </c>
      <c r="D48" s="33">
        <f>C48</f>
        <v>0.06</v>
      </c>
      <c r="E48" s="33">
        <f t="shared" ref="E48:L48" si="10">D48</f>
        <v>0.06</v>
      </c>
      <c r="F48" s="33">
        <f t="shared" si="10"/>
        <v>0.06</v>
      </c>
      <c r="G48" s="33">
        <f t="shared" si="10"/>
        <v>0.06</v>
      </c>
      <c r="H48" s="33">
        <f t="shared" si="10"/>
        <v>0.06</v>
      </c>
      <c r="I48" s="33">
        <f t="shared" si="10"/>
        <v>0.06</v>
      </c>
      <c r="J48" s="33">
        <f t="shared" si="10"/>
        <v>0.06</v>
      </c>
      <c r="K48" s="33">
        <f t="shared" si="10"/>
        <v>0.06</v>
      </c>
      <c r="L48" s="33">
        <f t="shared" si="10"/>
        <v>0.06</v>
      </c>
      <c r="M48" s="49">
        <f>D10</f>
        <v>4.1305847320745104E-2</v>
      </c>
    </row>
    <row r="49" spans="1:13" x14ac:dyDescent="0.2">
      <c r="A49" s="30" t="s">
        <v>168</v>
      </c>
      <c r="B49" s="30"/>
      <c r="C49" s="32">
        <f>C47/C39</f>
        <v>0.14278118489229266</v>
      </c>
      <c r="D49" s="33">
        <f t="shared" ref="D49:L49" si="11">D47/D39</f>
        <v>0.14009060627305411</v>
      </c>
      <c r="E49" s="33">
        <f t="shared" si="11"/>
        <v>0.13744235361036347</v>
      </c>
      <c r="F49" s="33">
        <f t="shared" si="11"/>
        <v>0.13483607161849553</v>
      </c>
      <c r="G49" s="33">
        <f t="shared" si="11"/>
        <v>0.13227139599380172</v>
      </c>
      <c r="H49" s="33">
        <f t="shared" si="11"/>
        <v>0.12974795395371097</v>
      </c>
      <c r="I49" s="33">
        <f t="shared" si="11"/>
        <v>0.12726536476542707</v>
      </c>
      <c r="J49" s="33">
        <f t="shared" si="11"/>
        <v>0.12482324026395904</v>
      </c>
      <c r="K49" s="33">
        <f t="shared" si="11"/>
        <v>0.12242118535916002</v>
      </c>
      <c r="L49" s="33">
        <f t="shared" si="11"/>
        <v>0.12005879853148733</v>
      </c>
      <c r="M49" s="48"/>
    </row>
    <row r="50" spans="1:13" x14ac:dyDescent="0.2">
      <c r="A50" s="13"/>
      <c r="B50" s="13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48"/>
    </row>
    <row r="51" spans="1:13" x14ac:dyDescent="0.2">
      <c r="A51" s="13" t="str">
        <f>A11</f>
        <v>Other International Operations</v>
      </c>
      <c r="B51" s="13">
        <f>RG!B34</f>
        <v>16361</v>
      </c>
      <c r="C51" s="127">
        <f>B51*(1+C52)</f>
        <v>17669.88</v>
      </c>
      <c r="D51" s="149">
        <f t="shared" ref="D51:L51" si="12">C51*(1+D52)</f>
        <v>19083.470400000002</v>
      </c>
      <c r="E51" s="149">
        <f t="shared" si="12"/>
        <v>20610.148032000005</v>
      </c>
      <c r="F51" s="149">
        <f t="shared" si="12"/>
        <v>22258.959874560005</v>
      </c>
      <c r="G51" s="149">
        <f t="shared" si="12"/>
        <v>24039.676664524806</v>
      </c>
      <c r="H51" s="149">
        <f t="shared" si="12"/>
        <v>25962.850797686791</v>
      </c>
      <c r="I51" s="149">
        <f t="shared" si="12"/>
        <v>28039.878861501737</v>
      </c>
      <c r="J51" s="149">
        <f t="shared" si="12"/>
        <v>30283.069170421877</v>
      </c>
      <c r="K51" s="149">
        <f t="shared" si="12"/>
        <v>32705.71470405563</v>
      </c>
      <c r="L51" s="149">
        <f t="shared" si="12"/>
        <v>35322.171880380083</v>
      </c>
      <c r="M51" s="48"/>
    </row>
    <row r="52" spans="1:13" x14ac:dyDescent="0.2">
      <c r="A52" s="30" t="s">
        <v>160</v>
      </c>
      <c r="B52" s="30"/>
      <c r="C52" s="32">
        <f>B11</f>
        <v>0.08</v>
      </c>
      <c r="D52" s="33">
        <f>C52</f>
        <v>0.08</v>
      </c>
      <c r="E52" s="33">
        <f t="shared" ref="E52:L52" si="13">D52</f>
        <v>0.08</v>
      </c>
      <c r="F52" s="33">
        <f t="shared" si="13"/>
        <v>0.08</v>
      </c>
      <c r="G52" s="33">
        <f t="shared" si="13"/>
        <v>0.08</v>
      </c>
      <c r="H52" s="33">
        <f t="shared" si="13"/>
        <v>0.08</v>
      </c>
      <c r="I52" s="33">
        <f t="shared" si="13"/>
        <v>0.08</v>
      </c>
      <c r="J52" s="33">
        <f t="shared" si="13"/>
        <v>0.08</v>
      </c>
      <c r="K52" s="33">
        <f t="shared" si="13"/>
        <v>0.08</v>
      </c>
      <c r="L52" s="33">
        <f t="shared" si="13"/>
        <v>0.08</v>
      </c>
      <c r="M52" s="49">
        <f>D11</f>
        <v>6.3340694872701109E-2</v>
      </c>
    </row>
    <row r="53" spans="1:13" x14ac:dyDescent="0.2">
      <c r="A53" s="96" t="s">
        <v>168</v>
      </c>
      <c r="B53" s="96"/>
      <c r="C53" s="136">
        <f>C51/C39</f>
        <v>0.12677066569377304</v>
      </c>
      <c r="D53" s="97">
        <f t="shared" ref="D53:L53" si="14">D51/D39</f>
        <v>0.12672861665067831</v>
      </c>
      <c r="E53" s="97">
        <f t="shared" si="14"/>
        <v>0.12667886196835548</v>
      </c>
      <c r="F53" s="97">
        <f t="shared" si="14"/>
        <v>0.12662152825865863</v>
      </c>
      <c r="G53" s="97">
        <f t="shared" si="14"/>
        <v>0.12655674232387554</v>
      </c>
      <c r="H53" s="97">
        <f t="shared" si="14"/>
        <v>0.12648463106159943</v>
      </c>
      <c r="I53" s="97">
        <f t="shared" si="14"/>
        <v>0.1264053213729156</v>
      </c>
      <c r="J53" s="97">
        <f t="shared" si="14"/>
        <v>0.12631894007390093</v>
      </c>
      <c r="K53" s="97">
        <f t="shared" si="14"/>
        <v>0.12622561381042935</v>
      </c>
      <c r="L53" s="97">
        <f t="shared" si="14"/>
        <v>0.12612546897626847</v>
      </c>
      <c r="M53" s="48"/>
    </row>
    <row r="54" spans="1:13" x14ac:dyDescent="0.2">
      <c r="C54" s="12"/>
      <c r="M54" s="48"/>
    </row>
    <row r="55" spans="1:13" x14ac:dyDescent="0.2">
      <c r="A55" s="11" t="s">
        <v>155</v>
      </c>
      <c r="C55" s="12"/>
      <c r="M55" s="48"/>
    </row>
    <row r="56" spans="1:13" x14ac:dyDescent="0.2">
      <c r="A56" s="131" t="str">
        <f>A13</f>
        <v>Merchandise costs, Net D&amp;A</v>
      </c>
      <c r="B56" s="131"/>
      <c r="C56" s="143">
        <f>C57*C39</f>
        <v>118476.91985999999</v>
      </c>
      <c r="D56" s="144">
        <f t="shared" ref="D56:L56" si="15">D57*D39</f>
        <v>127997.52943498401</v>
      </c>
      <c r="E56" s="144">
        <f>E57*E39</f>
        <v>138291.62620340066</v>
      </c>
      <c r="F56" s="144">
        <f t="shared" si="15"/>
        <v>149422.58361253201</v>
      </c>
      <c r="G56" s="144">
        <f t="shared" si="15"/>
        <v>161459.00083737509</v>
      </c>
      <c r="H56" s="144">
        <f t="shared" si="15"/>
        <v>174475.13577587303</v>
      </c>
      <c r="I56" s="144">
        <f t="shared" si="15"/>
        <v>188551.37405143512</v>
      </c>
      <c r="J56" s="144">
        <f t="shared" si="15"/>
        <v>203774.7370251797</v>
      </c>
      <c r="K56" s="144">
        <f t="shared" si="15"/>
        <v>220239.43207119766</v>
      </c>
      <c r="L56" s="144">
        <f t="shared" si="15"/>
        <v>238047.44863999117</v>
      </c>
      <c r="M56" s="48"/>
    </row>
    <row r="57" spans="1:13" x14ac:dyDescent="0.2">
      <c r="A57" s="30" t="s">
        <v>168</v>
      </c>
      <c r="B57" s="30"/>
      <c r="C57" s="32">
        <f>B13</f>
        <v>0.85</v>
      </c>
      <c r="D57" s="33">
        <f>C57</f>
        <v>0.85</v>
      </c>
      <c r="E57" s="33">
        <f t="shared" ref="E57:L57" si="16">D57</f>
        <v>0.85</v>
      </c>
      <c r="F57" s="33">
        <f t="shared" si="16"/>
        <v>0.85</v>
      </c>
      <c r="G57" s="33">
        <f t="shared" si="16"/>
        <v>0.85</v>
      </c>
      <c r="H57" s="33">
        <f t="shared" si="16"/>
        <v>0.85</v>
      </c>
      <c r="I57" s="33">
        <f t="shared" si="16"/>
        <v>0.85</v>
      </c>
      <c r="J57" s="33">
        <f t="shared" si="16"/>
        <v>0.85</v>
      </c>
      <c r="K57" s="33">
        <f t="shared" si="16"/>
        <v>0.85</v>
      </c>
      <c r="L57" s="33">
        <f t="shared" si="16"/>
        <v>0.85</v>
      </c>
      <c r="M57" s="49">
        <f>D13</f>
        <v>4.3725479093434808E-3</v>
      </c>
    </row>
    <row r="58" spans="1:13" x14ac:dyDescent="0.2">
      <c r="A58" s="13" t="str">
        <f>A14</f>
        <v>Selling, general and administrative</v>
      </c>
      <c r="B58" s="13"/>
      <c r="C58" s="127">
        <f>C59*C39</f>
        <v>12544.615044</v>
      </c>
      <c r="D58" s="149">
        <f t="shared" ref="D58:L58" si="17">D59*D39</f>
        <v>13552.679587233601</v>
      </c>
      <c r="E58" s="149">
        <f t="shared" si="17"/>
        <v>14642.642774477717</v>
      </c>
      <c r="F58" s="149">
        <f t="shared" si="17"/>
        <v>15821.214735444564</v>
      </c>
      <c r="G58" s="149">
        <f t="shared" si="17"/>
        <v>17095.658912192655</v>
      </c>
      <c r="H58" s="149">
        <f t="shared" si="17"/>
        <v>18473.837905680673</v>
      </c>
      <c r="I58" s="149">
        <f t="shared" si="17"/>
        <v>19964.263134857836</v>
      </c>
      <c r="J58" s="149">
        <f t="shared" si="17"/>
        <v>21576.148626195496</v>
      </c>
      <c r="K58" s="149">
        <f t="shared" si="17"/>
        <v>23319.46927812681</v>
      </c>
      <c r="L58" s="149">
        <f t="shared" si="17"/>
        <v>25205.023973646123</v>
      </c>
      <c r="M58" s="48"/>
    </row>
    <row r="59" spans="1:13" x14ac:dyDescent="0.2">
      <c r="A59" s="30" t="s">
        <v>168</v>
      </c>
      <c r="B59" s="30"/>
      <c r="C59" s="32">
        <f>B14</f>
        <v>0.09</v>
      </c>
      <c r="D59" s="33">
        <f>C59</f>
        <v>0.09</v>
      </c>
      <c r="E59" s="33">
        <f t="shared" ref="E59:L59" si="18">D59</f>
        <v>0.09</v>
      </c>
      <c r="F59" s="33">
        <f t="shared" si="18"/>
        <v>0.09</v>
      </c>
      <c r="G59" s="33">
        <f t="shared" si="18"/>
        <v>0.09</v>
      </c>
      <c r="H59" s="33">
        <f t="shared" si="18"/>
        <v>0.09</v>
      </c>
      <c r="I59" s="33">
        <f t="shared" si="18"/>
        <v>0.09</v>
      </c>
      <c r="J59" s="33">
        <f t="shared" si="18"/>
        <v>0.09</v>
      </c>
      <c r="K59" s="33">
        <f t="shared" si="18"/>
        <v>0.09</v>
      </c>
      <c r="L59" s="33">
        <f t="shared" si="18"/>
        <v>0.09</v>
      </c>
      <c r="M59" s="49">
        <f>D14</f>
        <v>2.4857719296725654E-3</v>
      </c>
    </row>
    <row r="60" spans="1:13" x14ac:dyDescent="0.2">
      <c r="A60" s="13" t="str">
        <f>A15</f>
        <v>Preopening expenses</v>
      </c>
      <c r="B60" s="13"/>
      <c r="C60" s="127">
        <f>C61*C39</f>
        <v>80.738041811049982</v>
      </c>
      <c r="D60" s="149">
        <f t="shared" ref="D60:L60" si="19">D61*D39</f>
        <v>87.226017484624705</v>
      </c>
      <c r="E60" s="149">
        <f t="shared" si="19"/>
        <v>94.241098702785422</v>
      </c>
      <c r="F60" s="149">
        <f t="shared" si="19"/>
        <v>101.8264723414436</v>
      </c>
      <c r="G60" s="149">
        <f t="shared" si="19"/>
        <v>110.0288864344413</v>
      </c>
      <c r="H60" s="149">
        <f t="shared" si="19"/>
        <v>118.89894524525884</v>
      </c>
      <c r="I60" s="149">
        <f t="shared" si="19"/>
        <v>128.49142887648068</v>
      </c>
      <c r="J60" s="149">
        <f t="shared" si="19"/>
        <v>138.8656394630774</v>
      </c>
      <c r="K60" s="149">
        <f t="shared" si="19"/>
        <v>150.08577616651638</v>
      </c>
      <c r="L60" s="149">
        <f t="shared" si="19"/>
        <v>162.22134137197665</v>
      </c>
      <c r="M60" s="48"/>
    </row>
    <row r="61" spans="1:13" x14ac:dyDescent="0.2">
      <c r="A61" s="96" t="s">
        <v>168</v>
      </c>
      <c r="B61" s="96"/>
      <c r="C61" s="136">
        <f>B15</f>
        <v>5.7924645256212759E-4</v>
      </c>
      <c r="D61" s="97">
        <f>C61</f>
        <v>5.7924645256212759E-4</v>
      </c>
      <c r="E61" s="97">
        <f t="shared" ref="E61:L61" si="20">D61</f>
        <v>5.7924645256212759E-4</v>
      </c>
      <c r="F61" s="97">
        <f t="shared" si="20"/>
        <v>5.7924645256212759E-4</v>
      </c>
      <c r="G61" s="97">
        <f t="shared" si="20"/>
        <v>5.7924645256212759E-4</v>
      </c>
      <c r="H61" s="97">
        <f t="shared" si="20"/>
        <v>5.7924645256212759E-4</v>
      </c>
      <c r="I61" s="97">
        <f t="shared" si="20"/>
        <v>5.7924645256212759E-4</v>
      </c>
      <c r="J61" s="97">
        <f t="shared" si="20"/>
        <v>5.7924645256212759E-4</v>
      </c>
      <c r="K61" s="97">
        <f t="shared" si="20"/>
        <v>5.7924645256212759E-4</v>
      </c>
      <c r="L61" s="97">
        <f t="shared" si="20"/>
        <v>5.7924645256212759E-4</v>
      </c>
      <c r="M61" s="49">
        <f>D15</f>
        <v>7.05487067068761E-5</v>
      </c>
    </row>
    <row r="62" spans="1:13" ht="16" thickBot="1" x14ac:dyDescent="0.25">
      <c r="C62" s="12"/>
      <c r="M62" s="48"/>
    </row>
    <row r="63" spans="1:13" x14ac:dyDescent="0.2">
      <c r="A63" s="123" t="str">
        <f>A26</f>
        <v>DOL</v>
      </c>
      <c r="B63" s="124"/>
      <c r="C63" s="150">
        <f>B26</f>
        <v>1</v>
      </c>
      <c r="D63" s="151">
        <f>C63</f>
        <v>1</v>
      </c>
      <c r="E63" s="151">
        <f t="shared" ref="E63:L63" si="21">D63</f>
        <v>1</v>
      </c>
      <c r="F63" s="151">
        <f t="shared" si="21"/>
        <v>1</v>
      </c>
      <c r="G63" s="151">
        <f t="shared" si="21"/>
        <v>1</v>
      </c>
      <c r="H63" s="151">
        <f t="shared" si="21"/>
        <v>1</v>
      </c>
      <c r="I63" s="151">
        <f t="shared" si="21"/>
        <v>1</v>
      </c>
      <c r="J63" s="151">
        <f t="shared" si="21"/>
        <v>1</v>
      </c>
      <c r="K63" s="151">
        <f t="shared" si="21"/>
        <v>1</v>
      </c>
      <c r="L63" s="182">
        <f t="shared" si="21"/>
        <v>1</v>
      </c>
      <c r="M63" s="156"/>
    </row>
    <row r="64" spans="1:13" ht="16" thickBot="1" x14ac:dyDescent="0.25">
      <c r="A64" s="125" t="s">
        <v>163</v>
      </c>
      <c r="B64" s="129"/>
      <c r="C64" s="155">
        <f>(C63-1)*C40*C39</f>
        <v>0</v>
      </c>
      <c r="D64" s="129">
        <f t="shared" ref="D64:L64" si="22">(D63-1)*D40*D39</f>
        <v>0</v>
      </c>
      <c r="E64" s="129">
        <f t="shared" si="22"/>
        <v>0</v>
      </c>
      <c r="F64" s="129">
        <f t="shared" si="22"/>
        <v>0</v>
      </c>
      <c r="G64" s="129">
        <f t="shared" si="22"/>
        <v>0</v>
      </c>
      <c r="H64" s="129">
        <f t="shared" si="22"/>
        <v>0</v>
      </c>
      <c r="I64" s="129">
        <f t="shared" si="22"/>
        <v>0</v>
      </c>
      <c r="J64" s="129">
        <f t="shared" si="22"/>
        <v>0</v>
      </c>
      <c r="K64" s="129">
        <f t="shared" si="22"/>
        <v>0</v>
      </c>
      <c r="L64" s="130">
        <f t="shared" si="22"/>
        <v>0</v>
      </c>
      <c r="M64" s="156"/>
    </row>
    <row r="65" spans="1:13" x14ac:dyDescent="0.2">
      <c r="C65" s="12"/>
      <c r="M65" s="48"/>
    </row>
    <row r="66" spans="1:13" x14ac:dyDescent="0.2">
      <c r="A66" s="133" t="s">
        <v>164</v>
      </c>
      <c r="B66" s="131"/>
      <c r="C66" s="143">
        <f>C39-C56-C58-C60</f>
        <v>8282.3386541889595</v>
      </c>
      <c r="D66" s="144">
        <f t="shared" ref="D66:L66" si="23">D39-D56-D58-D60</f>
        <v>8947.8937073377729</v>
      </c>
      <c r="E66" s="144">
        <f t="shared" si="23"/>
        <v>9667.5207509490265</v>
      </c>
      <c r="F66" s="144">
        <f t="shared" si="23"/>
        <v>10445.650017954935</v>
      </c>
      <c r="G66" s="144">
        <f t="shared" si="23"/>
        <v>11287.077055027332</v>
      </c>
      <c r="H66" s="144">
        <f t="shared" si="23"/>
        <v>12196.99299187521</v>
      </c>
      <c r="I66" s="144">
        <f t="shared" si="23"/>
        <v>13181.017327695412</v>
      </c>
      <c r="J66" s="144">
        <f t="shared" si="23"/>
        <v>14245.233444667268</v>
      </c>
      <c r="K66" s="144">
        <f t="shared" si="23"/>
        <v>15396.227075918034</v>
      </c>
      <c r="L66" s="144">
        <f t="shared" si="23"/>
        <v>16641.1279743921</v>
      </c>
      <c r="M66" s="48"/>
    </row>
    <row r="67" spans="1:13" x14ac:dyDescent="0.2">
      <c r="A67" s="96" t="s">
        <v>168</v>
      </c>
      <c r="B67" s="96"/>
      <c r="C67" s="136">
        <f>C66/C39</f>
        <v>5.9420753547437942E-2</v>
      </c>
      <c r="D67" s="97">
        <f t="shared" ref="D67:L67" si="24">D66/D39</f>
        <v>5.9420753547437852E-2</v>
      </c>
      <c r="E67" s="97">
        <f t="shared" si="24"/>
        <v>5.9420753547437873E-2</v>
      </c>
      <c r="F67" s="97">
        <f t="shared" si="24"/>
        <v>5.942075354743788E-2</v>
      </c>
      <c r="G67" s="97">
        <f t="shared" si="24"/>
        <v>5.9420753547437886E-2</v>
      </c>
      <c r="H67" s="97">
        <f t="shared" si="24"/>
        <v>5.9420753547437963E-2</v>
      </c>
      <c r="I67" s="97">
        <f t="shared" si="24"/>
        <v>5.942075354743788E-2</v>
      </c>
      <c r="J67" s="97">
        <f t="shared" si="24"/>
        <v>5.9420753547437928E-2</v>
      </c>
      <c r="K67" s="97">
        <f t="shared" si="24"/>
        <v>5.9420753547437907E-2</v>
      </c>
      <c r="L67" s="97">
        <f t="shared" si="24"/>
        <v>5.9420753547437852E-2</v>
      </c>
      <c r="M67" s="48"/>
    </row>
    <row r="68" spans="1:13" x14ac:dyDescent="0.2">
      <c r="C68" s="12"/>
      <c r="M68" s="48"/>
    </row>
    <row r="69" spans="1:13" x14ac:dyDescent="0.2">
      <c r="A69" s="11" t="s">
        <v>120</v>
      </c>
      <c r="C69" s="12"/>
      <c r="M69" s="48"/>
    </row>
    <row r="70" spans="1:13" x14ac:dyDescent="0.2">
      <c r="A70" t="str">
        <f>A17</f>
        <v>Interest expense as % of Total Debt</v>
      </c>
      <c r="C70" s="127">
        <f>C71*B72</f>
        <v>111.58131465106031</v>
      </c>
      <c r="D70" s="126">
        <f t="shared" ref="D70:L70" si="25">D71*C72</f>
        <v>111.58131465106031</v>
      </c>
      <c r="E70" s="126">
        <f t="shared" si="25"/>
        <v>111.58131465106031</v>
      </c>
      <c r="F70" s="126">
        <f t="shared" si="25"/>
        <v>111.58131465106031</v>
      </c>
      <c r="G70" s="126">
        <f t="shared" si="25"/>
        <v>111.58131465106031</v>
      </c>
      <c r="H70" s="126">
        <f t="shared" si="25"/>
        <v>111.58131465106031</v>
      </c>
      <c r="I70" s="126">
        <f t="shared" si="25"/>
        <v>111.58131465106031</v>
      </c>
      <c r="J70" s="126">
        <f t="shared" si="25"/>
        <v>111.58131465106031</v>
      </c>
      <c r="K70" s="126">
        <f t="shared" si="25"/>
        <v>111.58131465106031</v>
      </c>
      <c r="L70" s="126">
        <f t="shared" si="25"/>
        <v>0</v>
      </c>
      <c r="M70" s="48"/>
    </row>
    <row r="71" spans="1:13" x14ac:dyDescent="0.2">
      <c r="A71" s="134" t="s">
        <v>165</v>
      </c>
      <c r="B71" s="137">
        <f>B17</f>
        <v>2.1620095844034161E-2</v>
      </c>
      <c r="C71" s="32">
        <f>B71</f>
        <v>2.1620095844034161E-2</v>
      </c>
      <c r="D71" s="137">
        <f t="shared" ref="D71:K71" si="26">C71</f>
        <v>2.1620095844034161E-2</v>
      </c>
      <c r="E71" s="137">
        <f t="shared" si="26"/>
        <v>2.1620095844034161E-2</v>
      </c>
      <c r="F71" s="137">
        <f t="shared" si="26"/>
        <v>2.1620095844034161E-2</v>
      </c>
      <c r="G71" s="137">
        <f t="shared" si="26"/>
        <v>2.1620095844034161E-2</v>
      </c>
      <c r="H71" s="137">
        <f t="shared" si="26"/>
        <v>2.1620095844034161E-2</v>
      </c>
      <c r="I71" s="137">
        <f t="shared" si="26"/>
        <v>2.1620095844034161E-2</v>
      </c>
      <c r="J71" s="137">
        <f t="shared" si="26"/>
        <v>2.1620095844034161E-2</v>
      </c>
      <c r="K71" s="137">
        <f t="shared" si="26"/>
        <v>2.1620095844034161E-2</v>
      </c>
      <c r="L71" s="137">
        <v>0</v>
      </c>
      <c r="M71" s="49">
        <f>D17</f>
        <v>2.7234702076473546E-3</v>
      </c>
    </row>
    <row r="72" spans="1:13" x14ac:dyDescent="0.2">
      <c r="A72" s="134" t="s">
        <v>166</v>
      </c>
      <c r="B72" s="140">
        <f>VD!E125+VD!E134</f>
        <v>5161</v>
      </c>
      <c r="C72" s="135">
        <f>B72-C70+B71*B72</f>
        <v>5161</v>
      </c>
      <c r="D72" s="134">
        <f t="shared" ref="D72:K72" si="27">C72-D70+C71*C72</f>
        <v>5161</v>
      </c>
      <c r="E72" s="134">
        <f t="shared" si="27"/>
        <v>5161</v>
      </c>
      <c r="F72" s="134">
        <f t="shared" si="27"/>
        <v>5161</v>
      </c>
      <c r="G72" s="134">
        <f t="shared" si="27"/>
        <v>5161</v>
      </c>
      <c r="H72" s="134">
        <f t="shared" si="27"/>
        <v>5161</v>
      </c>
      <c r="I72" s="134">
        <f t="shared" si="27"/>
        <v>5161</v>
      </c>
      <c r="J72" s="134">
        <f t="shared" si="27"/>
        <v>5161</v>
      </c>
      <c r="K72" s="134">
        <f t="shared" si="27"/>
        <v>5161</v>
      </c>
      <c r="L72" s="134">
        <v>0</v>
      </c>
      <c r="M72" s="48"/>
    </row>
    <row r="73" spans="1:13" x14ac:dyDescent="0.2">
      <c r="A73" t="str">
        <f>A18</f>
        <v>Interest income and other, net as % of Rev</v>
      </c>
      <c r="C73" s="127">
        <f>C74*C39</f>
        <v>-105.11964196509257</v>
      </c>
      <c r="D73" s="126">
        <f t="shared" ref="D73:L73" si="28">D74*D39</f>
        <v>-113.5668827525334</v>
      </c>
      <c r="E73" s="126">
        <f t="shared" si="28"/>
        <v>-122.7004065471144</v>
      </c>
      <c r="F73" s="126">
        <f t="shared" si="28"/>
        <v>-132.57644197206659</v>
      </c>
      <c r="G73" s="126">
        <f t="shared" si="28"/>
        <v>-143.25585422141521</v>
      </c>
      <c r="H73" s="126">
        <f t="shared" si="28"/>
        <v>-154.80452923863419</v>
      </c>
      <c r="I73" s="126">
        <f t="shared" si="28"/>
        <v>-167.29378984307016</v>
      </c>
      <c r="J73" s="126">
        <f t="shared" si="28"/>
        <v>-180.80084646807077</v>
      </c>
      <c r="K73" s="126">
        <f t="shared" si="28"/>
        <v>-195.40928539733244</v>
      </c>
      <c r="L73" s="126">
        <f t="shared" si="28"/>
        <v>0</v>
      </c>
      <c r="M73" s="48"/>
    </row>
    <row r="74" spans="1:13" ht="16" thickBot="1" x14ac:dyDescent="0.25">
      <c r="A74" s="134" t="s">
        <v>162</v>
      </c>
      <c r="B74" s="134"/>
      <c r="C74" s="32">
        <f>B18</f>
        <v>-7.5416963722480662E-4</v>
      </c>
      <c r="D74" s="137">
        <f>C74</f>
        <v>-7.5416963722480662E-4</v>
      </c>
      <c r="E74" s="137">
        <f t="shared" ref="E74:K74" si="29">D74</f>
        <v>-7.5416963722480662E-4</v>
      </c>
      <c r="F74" s="137">
        <f t="shared" si="29"/>
        <v>-7.5416963722480662E-4</v>
      </c>
      <c r="G74" s="137">
        <f t="shared" si="29"/>
        <v>-7.5416963722480662E-4</v>
      </c>
      <c r="H74" s="137">
        <f t="shared" si="29"/>
        <v>-7.5416963722480662E-4</v>
      </c>
      <c r="I74" s="137">
        <f t="shared" si="29"/>
        <v>-7.5416963722480662E-4</v>
      </c>
      <c r="J74" s="137">
        <f t="shared" si="29"/>
        <v>-7.5416963722480662E-4</v>
      </c>
      <c r="K74" s="137">
        <f t="shared" si="29"/>
        <v>-7.5416963722480662E-4</v>
      </c>
      <c r="L74" s="137">
        <v>0</v>
      </c>
      <c r="M74" s="49">
        <f>D18</f>
        <v>1.1238653145296337E-4</v>
      </c>
    </row>
    <row r="75" spans="1:13" x14ac:dyDescent="0.2">
      <c r="A75" s="123" t="str">
        <f>A19</f>
        <v>Depreciation &amp; Amortization as % of Rev</v>
      </c>
      <c r="B75" s="124"/>
      <c r="C75" s="150">
        <f>C76*C39</f>
        <v>1366.5159434052698</v>
      </c>
      <c r="D75" s="151">
        <f t="shared" ref="D75:L75" si="30">D76*D39</f>
        <v>1476.3269073510412</v>
      </c>
      <c r="E75" s="151">
        <f t="shared" si="30"/>
        <v>1595.0592931492251</v>
      </c>
      <c r="F75" s="151">
        <f t="shared" si="30"/>
        <v>1723.4440518255719</v>
      </c>
      <c r="G75" s="151">
        <f t="shared" si="30"/>
        <v>1862.2724080882251</v>
      </c>
      <c r="H75" s="151">
        <f t="shared" si="30"/>
        <v>2012.4008545062263</v>
      </c>
      <c r="I75" s="151">
        <f t="shared" si="30"/>
        <v>2174.7565609970507</v>
      </c>
      <c r="J75" s="151">
        <f t="shared" si="30"/>
        <v>2350.3432342533233</v>
      </c>
      <c r="K75" s="151">
        <f t="shared" si="30"/>
        <v>2540.2474646323367</v>
      </c>
      <c r="L75" s="151">
        <f t="shared" si="30"/>
        <v>2745.6456011675982</v>
      </c>
      <c r="M75" s="48"/>
    </row>
    <row r="76" spans="1:13" x14ac:dyDescent="0.2">
      <c r="A76" s="31" t="s">
        <v>168</v>
      </c>
      <c r="B76" s="30"/>
      <c r="C76" s="32">
        <f>B19</f>
        <v>9.8039225974732337E-3</v>
      </c>
      <c r="D76" s="33">
        <f>C76</f>
        <v>9.8039225974732337E-3</v>
      </c>
      <c r="E76" s="33">
        <f t="shared" ref="E76:L76" si="31">D76</f>
        <v>9.8039225974732337E-3</v>
      </c>
      <c r="F76" s="33">
        <f t="shared" si="31"/>
        <v>9.8039225974732337E-3</v>
      </c>
      <c r="G76" s="33">
        <f t="shared" si="31"/>
        <v>9.8039225974732337E-3</v>
      </c>
      <c r="H76" s="33">
        <f t="shared" si="31"/>
        <v>9.8039225974732337E-3</v>
      </c>
      <c r="I76" s="33">
        <f t="shared" si="31"/>
        <v>9.8039225974732337E-3</v>
      </c>
      <c r="J76" s="33">
        <f t="shared" si="31"/>
        <v>9.8039225974732337E-3</v>
      </c>
      <c r="K76" s="33">
        <f t="shared" si="31"/>
        <v>9.8039225974732337E-3</v>
      </c>
      <c r="L76" s="33">
        <f t="shared" si="31"/>
        <v>9.8039225974732337E-3</v>
      </c>
      <c r="M76" s="49">
        <f>D19</f>
        <v>7.1496877963147371E-4</v>
      </c>
    </row>
    <row r="77" spans="1:13" x14ac:dyDescent="0.2">
      <c r="A77" s="128" t="s">
        <v>167</v>
      </c>
      <c r="B77" s="13"/>
      <c r="C77" s="127">
        <f>C66-C70-C73-C75</f>
        <v>6909.3610380977225</v>
      </c>
      <c r="D77" s="149">
        <f t="shared" ref="D77:L77" si="32">D66-D70-D73-D75</f>
        <v>7473.5523680882043</v>
      </c>
      <c r="E77" s="149">
        <f t="shared" si="32"/>
        <v>8083.5805496958546</v>
      </c>
      <c r="F77" s="149">
        <f t="shared" si="32"/>
        <v>8743.2010934503687</v>
      </c>
      <c r="G77" s="149">
        <f t="shared" si="32"/>
        <v>9456.4791865094612</v>
      </c>
      <c r="H77" s="149">
        <f t="shared" si="32"/>
        <v>10227.815351956557</v>
      </c>
      <c r="I77" s="149">
        <f t="shared" si="32"/>
        <v>11061.97324189037</v>
      </c>
      <c r="J77" s="149">
        <f t="shared" si="32"/>
        <v>11964.109742230956</v>
      </c>
      <c r="K77" s="149">
        <f t="shared" si="32"/>
        <v>12939.807582031968</v>
      </c>
      <c r="L77" s="149">
        <f t="shared" si="32"/>
        <v>13895.482373224502</v>
      </c>
      <c r="M77" s="48"/>
    </row>
    <row r="78" spans="1:13" ht="16" thickBot="1" x14ac:dyDescent="0.25">
      <c r="A78" s="28" t="s">
        <v>168</v>
      </c>
      <c r="B78" s="138"/>
      <c r="C78" s="35">
        <f>C77/C39</f>
        <v>4.9570472369833127E-2</v>
      </c>
      <c r="D78" s="41">
        <f t="shared" ref="D78:L78" si="33">D77/D39</f>
        <v>4.9630016617638849E-2</v>
      </c>
      <c r="E78" s="41">
        <f t="shared" si="33"/>
        <v>4.9685173686044297E-2</v>
      </c>
      <c r="F78" s="41">
        <f t="shared" si="33"/>
        <v>4.973626308526443E-2</v>
      </c>
      <c r="G78" s="41">
        <f t="shared" si="33"/>
        <v>4.9783581385029703E-2</v>
      </c>
      <c r="H78" s="41">
        <f t="shared" si="33"/>
        <v>4.9827403833235799E-2</v>
      </c>
      <c r="I78" s="41">
        <f t="shared" si="33"/>
        <v>4.9867985862791155E-2</v>
      </c>
      <c r="J78" s="41">
        <f t="shared" si="33"/>
        <v>4.9905564494188037E-2</v>
      </c>
      <c r="K78" s="41">
        <f t="shared" si="33"/>
        <v>4.9940359640827332E-2</v>
      </c>
      <c r="L78" s="41">
        <f t="shared" si="33"/>
        <v>4.9616830949964622E-2</v>
      </c>
      <c r="M78" s="49"/>
    </row>
    <row r="79" spans="1:13" x14ac:dyDescent="0.2">
      <c r="A79" t="str">
        <f>A20</f>
        <v>Provision for income taxes (as % of EBT)</v>
      </c>
      <c r="C79" s="127">
        <f>C80*C77</f>
        <v>2313.8953377225812</v>
      </c>
      <c r="D79" s="126">
        <f t="shared" ref="D79:L79" si="34">D80*D77</f>
        <v>2502.8389579575287</v>
      </c>
      <c r="E79" s="126">
        <f t="shared" si="34"/>
        <v>2707.13301026109</v>
      </c>
      <c r="F79" s="126">
        <f t="shared" si="34"/>
        <v>2928.035188109915</v>
      </c>
      <c r="G79" s="126">
        <f t="shared" si="34"/>
        <v>3166.9068934569968</v>
      </c>
      <c r="H79" s="126">
        <f t="shared" si="34"/>
        <v>3425.221829845997</v>
      </c>
      <c r="I79" s="126">
        <f t="shared" si="34"/>
        <v>3704.5753101171281</v>
      </c>
      <c r="J79" s="126">
        <f t="shared" si="34"/>
        <v>4006.6943382902691</v>
      </c>
      <c r="K79" s="126">
        <f t="shared" si="34"/>
        <v>4333.4485301891973</v>
      </c>
      <c r="L79" s="126">
        <f t="shared" si="34"/>
        <v>4653.4971470622022</v>
      </c>
      <c r="M79" s="48"/>
    </row>
    <row r="80" spans="1:13" x14ac:dyDescent="0.2">
      <c r="A80" s="134" t="s">
        <v>172</v>
      </c>
      <c r="B80" s="134"/>
      <c r="C80" s="32">
        <f>B20</f>
        <v>0.3348928106324055</v>
      </c>
      <c r="D80" s="137">
        <f>C80</f>
        <v>0.3348928106324055</v>
      </c>
      <c r="E80" s="137">
        <f t="shared" ref="E80:L80" si="35">D80</f>
        <v>0.3348928106324055</v>
      </c>
      <c r="F80" s="137">
        <f t="shared" si="35"/>
        <v>0.3348928106324055</v>
      </c>
      <c r="G80" s="137">
        <f t="shared" si="35"/>
        <v>0.3348928106324055</v>
      </c>
      <c r="H80" s="137">
        <f t="shared" si="35"/>
        <v>0.3348928106324055</v>
      </c>
      <c r="I80" s="137">
        <f t="shared" si="35"/>
        <v>0.3348928106324055</v>
      </c>
      <c r="J80" s="137">
        <f t="shared" si="35"/>
        <v>0.3348928106324055</v>
      </c>
      <c r="K80" s="137">
        <f t="shared" si="35"/>
        <v>0.3348928106324055</v>
      </c>
      <c r="L80" s="137">
        <f t="shared" si="35"/>
        <v>0.3348928106324055</v>
      </c>
      <c r="M80" s="49">
        <f>D20</f>
        <v>1.0408472966511508E-2</v>
      </c>
    </row>
    <row r="81" spans="1:13" x14ac:dyDescent="0.2">
      <c r="A81" t="str">
        <f>A21</f>
        <v>Net income attributable to noncontrolling interests as % of Rev</v>
      </c>
      <c r="C81" s="127">
        <f>C82*C39</f>
        <v>34.601048912814186</v>
      </c>
      <c r="D81" s="126">
        <f t="shared" ref="D81:L81" si="36">D82*D39</f>
        <v>37.381532048036611</v>
      </c>
      <c r="E81" s="126">
        <f t="shared" si="36"/>
        <v>40.387911233266273</v>
      </c>
      <c r="F81" s="126">
        <f t="shared" si="36"/>
        <v>43.638694611285509</v>
      </c>
      <c r="G81" s="126">
        <f t="shared" si="36"/>
        <v>47.153916492677816</v>
      </c>
      <c r="H81" s="126">
        <f t="shared" si="36"/>
        <v>50.955263811589766</v>
      </c>
      <c r="I81" s="126">
        <f t="shared" si="36"/>
        <v>55.066213097380484</v>
      </c>
      <c r="J81" s="126">
        <f t="shared" si="36"/>
        <v>59.512178839016038</v>
      </c>
      <c r="K81" s="126">
        <f t="shared" si="36"/>
        <v>64.320674192330642</v>
      </c>
      <c r="L81" s="126">
        <f t="shared" si="36"/>
        <v>69.521485059672088</v>
      </c>
      <c r="M81" s="48"/>
    </row>
    <row r="82" spans="1:13" x14ac:dyDescent="0.2">
      <c r="A82" s="134" t="s">
        <v>168</v>
      </c>
      <c r="B82" s="134"/>
      <c r="C82" s="32">
        <f>B21</f>
        <v>2.4824152763800638E-4</v>
      </c>
      <c r="D82" s="137">
        <f>C82</f>
        <v>2.4824152763800638E-4</v>
      </c>
      <c r="E82" s="137">
        <f t="shared" ref="E82:L82" si="37">D82</f>
        <v>2.4824152763800638E-4</v>
      </c>
      <c r="F82" s="137">
        <f t="shared" si="37"/>
        <v>2.4824152763800638E-4</v>
      </c>
      <c r="G82" s="137">
        <f t="shared" si="37"/>
        <v>2.4824152763800638E-4</v>
      </c>
      <c r="H82" s="137">
        <f t="shared" si="37"/>
        <v>2.4824152763800638E-4</v>
      </c>
      <c r="I82" s="137">
        <f t="shared" si="37"/>
        <v>2.4824152763800638E-4</v>
      </c>
      <c r="J82" s="137">
        <f t="shared" si="37"/>
        <v>2.4824152763800638E-4</v>
      </c>
      <c r="K82" s="137">
        <f t="shared" si="37"/>
        <v>2.4824152763800638E-4</v>
      </c>
      <c r="L82" s="137">
        <f t="shared" si="37"/>
        <v>2.4824152763800638E-4</v>
      </c>
      <c r="M82" s="49">
        <f>D21</f>
        <v>3.3215998262595775E-5</v>
      </c>
    </row>
    <row r="83" spans="1:13" x14ac:dyDescent="0.2">
      <c r="C83" s="12"/>
      <c r="M83" s="48"/>
    </row>
    <row r="84" spans="1:13" x14ac:dyDescent="0.2">
      <c r="A84" s="131" t="s">
        <v>169</v>
      </c>
      <c r="B84" s="131"/>
      <c r="C84" s="143">
        <f>C66-C70-C73-C79-C81</f>
        <v>5927.3805948675972</v>
      </c>
      <c r="D84" s="144">
        <f t="shared" ref="D84:L84" si="38">D66-D70-D73-D79-D81</f>
        <v>6409.6587854336804</v>
      </c>
      <c r="E84" s="144">
        <f t="shared" si="38"/>
        <v>6931.1189213507232</v>
      </c>
      <c r="F84" s="144">
        <f t="shared" si="38"/>
        <v>7494.9712625547409</v>
      </c>
      <c r="G84" s="144">
        <f t="shared" si="38"/>
        <v>8104.6907846480117</v>
      </c>
      <c r="H84" s="144">
        <f t="shared" si="38"/>
        <v>8764.0391128051961</v>
      </c>
      <c r="I84" s="144">
        <f t="shared" si="38"/>
        <v>9477.0882796729129</v>
      </c>
      <c r="J84" s="144">
        <f t="shared" si="38"/>
        <v>10248.246459354994</v>
      </c>
      <c r="K84" s="144">
        <f t="shared" si="38"/>
        <v>11082.285842282778</v>
      </c>
      <c r="L84" s="144">
        <f t="shared" si="38"/>
        <v>11918.109342270227</v>
      </c>
      <c r="M84" s="48"/>
    </row>
    <row r="85" spans="1:13" x14ac:dyDescent="0.2">
      <c r="A85" s="96" t="s">
        <v>168</v>
      </c>
      <c r="B85" s="96"/>
      <c r="C85" s="141">
        <f>C84/C39</f>
        <v>4.2525358623358947E-2</v>
      </c>
      <c r="D85" s="142">
        <f t="shared" ref="D85:L85" si="39">D84/D39</f>
        <v>4.2564961930660013E-2</v>
      </c>
      <c r="E85" s="142">
        <f t="shared" si="39"/>
        <v>4.2601647293400914E-2</v>
      </c>
      <c r="F85" s="142">
        <f t="shared" si="39"/>
        <v>4.26356272201227E-2</v>
      </c>
      <c r="G85" s="142">
        <f t="shared" si="39"/>
        <v>4.2667098961485232E-2</v>
      </c>
      <c r="H85" s="142">
        <f t="shared" si="39"/>
        <v>4.269624558684279E-2</v>
      </c>
      <c r="I85" s="142">
        <f t="shared" si="39"/>
        <v>4.2723236986459197E-2</v>
      </c>
      <c r="J85" s="142">
        <f t="shared" si="39"/>
        <v>4.2748230804367848E-2</v>
      </c>
      <c r="K85" s="142">
        <f t="shared" si="39"/>
        <v>4.277137330655275E-2</v>
      </c>
      <c r="L85" s="142">
        <f t="shared" si="39"/>
        <v>4.2556192048293272E-2</v>
      </c>
      <c r="M85" s="48"/>
    </row>
    <row r="86" spans="1:13" x14ac:dyDescent="0.2">
      <c r="C86" s="12"/>
      <c r="M86" s="48"/>
    </row>
    <row r="87" spans="1:13" x14ac:dyDescent="0.2">
      <c r="A87" s="11" t="s">
        <v>124</v>
      </c>
      <c r="C87" s="12"/>
      <c r="M87" s="48"/>
    </row>
    <row r="88" spans="1:13" x14ac:dyDescent="0.2">
      <c r="A88" s="131" t="str">
        <f>A23</f>
        <v>Change in Working Capital</v>
      </c>
      <c r="B88" s="131"/>
      <c r="C88" s="143">
        <f>C89*C39</f>
        <v>-683.07110484541352</v>
      </c>
      <c r="D88" s="144">
        <f t="shared" ref="D88:L88" si="40">D89*D39</f>
        <v>-737.96157050632712</v>
      </c>
      <c r="E88" s="144">
        <f t="shared" si="40"/>
        <v>-797.31152711641596</v>
      </c>
      <c r="F88" s="144">
        <f t="shared" si="40"/>
        <v>-861.486350233248</v>
      </c>
      <c r="G88" s="144">
        <f t="shared" si="40"/>
        <v>-930.88154401334668</v>
      </c>
      <c r="H88" s="144">
        <f t="shared" si="40"/>
        <v>-1005.9252376185054</v>
      </c>
      <c r="I88" s="144">
        <f t="shared" si="40"/>
        <v>-1087.080889219824</v>
      </c>
      <c r="J88" s="144">
        <f t="shared" si="40"/>
        <v>-1174.8502149098078</v>
      </c>
      <c r="K88" s="144">
        <f t="shared" si="40"/>
        <v>-1269.7763612792101</v>
      </c>
      <c r="L88" s="144">
        <f t="shared" si="40"/>
        <v>-1372.4473419826681</v>
      </c>
      <c r="M88" s="48"/>
    </row>
    <row r="89" spans="1:13" x14ac:dyDescent="0.2">
      <c r="A89" s="30" t="s">
        <v>168</v>
      </c>
      <c r="B89" s="30"/>
      <c r="C89" s="32">
        <f>B23</f>
        <v>-4.9006206424397963E-3</v>
      </c>
      <c r="D89" s="33">
        <f>C89</f>
        <v>-4.9006206424397963E-3</v>
      </c>
      <c r="E89" s="33">
        <f t="shared" ref="E89:L89" si="41">D89</f>
        <v>-4.9006206424397963E-3</v>
      </c>
      <c r="F89" s="33">
        <f t="shared" si="41"/>
        <v>-4.9006206424397963E-3</v>
      </c>
      <c r="G89" s="33">
        <f t="shared" si="41"/>
        <v>-4.9006206424397963E-3</v>
      </c>
      <c r="H89" s="33">
        <f t="shared" si="41"/>
        <v>-4.9006206424397963E-3</v>
      </c>
      <c r="I89" s="33">
        <f t="shared" si="41"/>
        <v>-4.9006206424397963E-3</v>
      </c>
      <c r="J89" s="33">
        <f t="shared" si="41"/>
        <v>-4.9006206424397963E-3</v>
      </c>
      <c r="K89" s="33">
        <f t="shared" si="41"/>
        <v>-4.9006206424397963E-3</v>
      </c>
      <c r="L89" s="33">
        <f t="shared" si="41"/>
        <v>-4.9006206424397963E-3</v>
      </c>
      <c r="M89" s="49">
        <f>D23</f>
        <v>1.2082579974031019E-2</v>
      </c>
    </row>
    <row r="90" spans="1:13" x14ac:dyDescent="0.2">
      <c r="A90" s="13" t="str">
        <f>A24</f>
        <v>Capital Expenditures (CAPEX)</v>
      </c>
      <c r="B90" s="13"/>
      <c r="C90" s="127">
        <f>C91*C39</f>
        <v>3423.0578474445456</v>
      </c>
      <c r="D90" s="149">
        <f t="shared" ref="D90:L90" si="42">D91*D39</f>
        <v>3698.1291217198614</v>
      </c>
      <c r="E90" s="149">
        <f t="shared" si="42"/>
        <v>3995.5481360487352</v>
      </c>
      <c r="F90" s="149">
        <f t="shared" si="42"/>
        <v>4317.1458882009838</v>
      </c>
      <c r="G90" s="149">
        <f t="shared" si="42"/>
        <v>4664.9043586718735</v>
      </c>
      <c r="H90" s="149">
        <f t="shared" si="42"/>
        <v>5040.9690208632237</v>
      </c>
      <c r="I90" s="149">
        <f t="shared" si="42"/>
        <v>5447.6623915939881</v>
      </c>
      <c r="J90" s="149">
        <f t="shared" si="42"/>
        <v>5887.4987086872261</v>
      </c>
      <c r="K90" s="149">
        <f t="shared" si="42"/>
        <v>6363.1998296283455</v>
      </c>
      <c r="L90" s="149">
        <f t="shared" si="42"/>
        <v>6877.7124531440713</v>
      </c>
      <c r="M90" s="48"/>
    </row>
    <row r="91" spans="1:13" ht="16" thickBot="1" x14ac:dyDescent="0.25">
      <c r="A91" s="96" t="s">
        <v>168</v>
      </c>
      <c r="B91" s="96"/>
      <c r="C91" s="136">
        <f>B24</f>
        <v>2.4558362706981533E-2</v>
      </c>
      <c r="D91" s="97">
        <f>C91</f>
        <v>2.4558362706981533E-2</v>
      </c>
      <c r="E91" s="97">
        <f t="shared" ref="E91:L91" si="43">D91</f>
        <v>2.4558362706981533E-2</v>
      </c>
      <c r="F91" s="97">
        <f t="shared" si="43"/>
        <v>2.4558362706981533E-2</v>
      </c>
      <c r="G91" s="97">
        <f t="shared" si="43"/>
        <v>2.4558362706981533E-2</v>
      </c>
      <c r="H91" s="97">
        <f t="shared" si="43"/>
        <v>2.4558362706981533E-2</v>
      </c>
      <c r="I91" s="97">
        <f t="shared" si="43"/>
        <v>2.4558362706981533E-2</v>
      </c>
      <c r="J91" s="97">
        <f t="shared" si="43"/>
        <v>2.4558362706981533E-2</v>
      </c>
      <c r="K91" s="97">
        <f t="shared" si="43"/>
        <v>2.4558362706981533E-2</v>
      </c>
      <c r="L91" s="97">
        <f t="shared" si="43"/>
        <v>2.4558362706981533E-2</v>
      </c>
      <c r="M91" s="50">
        <f>D24</f>
        <v>6.7533592350091627E-3</v>
      </c>
    </row>
    <row r="92" spans="1:13" x14ac:dyDescent="0.2">
      <c r="C92" s="12"/>
    </row>
    <row r="93" spans="1:13" x14ac:dyDescent="0.2">
      <c r="A93" s="131" t="s">
        <v>170</v>
      </c>
      <c r="B93" s="131"/>
      <c r="C93" s="143">
        <f>C84-C88-C90</f>
        <v>3187.3938522684648</v>
      </c>
      <c r="D93" s="144">
        <f t="shared" ref="D93:L93" si="44">D84-D88-D90</f>
        <v>3449.491234220146</v>
      </c>
      <c r="E93" s="144">
        <f t="shared" si="44"/>
        <v>3732.8823124184041</v>
      </c>
      <c r="F93" s="144">
        <f t="shared" si="44"/>
        <v>4039.3117245870044</v>
      </c>
      <c r="G93" s="144">
        <f t="shared" si="44"/>
        <v>4370.6679699894839</v>
      </c>
      <c r="H93" s="144">
        <f t="shared" si="44"/>
        <v>4728.9953295604773</v>
      </c>
      <c r="I93" s="144">
        <f t="shared" si="44"/>
        <v>5116.5067772987486</v>
      </c>
      <c r="J93" s="144">
        <f t="shared" si="44"/>
        <v>5535.5979655775755</v>
      </c>
      <c r="K93" s="144">
        <f t="shared" si="44"/>
        <v>5988.8623739336417</v>
      </c>
      <c r="L93" s="145">
        <f t="shared" si="44"/>
        <v>6412.8442311088238</v>
      </c>
    </row>
    <row r="94" spans="1:13" x14ac:dyDescent="0.2">
      <c r="A94" s="132" t="s">
        <v>171</v>
      </c>
      <c r="B94" s="132"/>
      <c r="C94" s="146">
        <f>C93/(1+$I$6)^C36</f>
        <v>2897.630774789513</v>
      </c>
      <c r="D94" s="147">
        <f t="shared" ref="D94:K94" si="45">D93/(1+$I$6)^D36</f>
        <v>2850.8192018348309</v>
      </c>
      <c r="E94" s="147">
        <f t="shared" si="45"/>
        <v>2804.5697313436535</v>
      </c>
      <c r="F94" s="147">
        <f t="shared" si="45"/>
        <v>2758.9042583068117</v>
      </c>
      <c r="G94" s="147">
        <f t="shared" si="45"/>
        <v>2713.8409385781415</v>
      </c>
      <c r="H94" s="147">
        <f t="shared" si="45"/>
        <v>2669.3945788829596</v>
      </c>
      <c r="I94" s="147">
        <f t="shared" si="45"/>
        <v>2625.5769897532819</v>
      </c>
      <c r="J94" s="147">
        <f t="shared" si="45"/>
        <v>2582.3973048159232</v>
      </c>
      <c r="K94" s="147">
        <f t="shared" si="45"/>
        <v>2539.8622695458421</v>
      </c>
      <c r="L94" s="148">
        <f>(L93*(1+I6)/(I6-I8)-K72)/(1+I6)^L36</f>
        <v>30006.351852748063</v>
      </c>
    </row>
    <row r="97" spans="1:12" ht="16" thickBot="1" x14ac:dyDescent="0.25">
      <c r="A97" s="282" t="s">
        <v>188</v>
      </c>
      <c r="B97" s="282"/>
      <c r="C97" s="282"/>
    </row>
    <row r="98" spans="1:12" x14ac:dyDescent="0.2">
      <c r="A98" s="90" t="s">
        <v>189</v>
      </c>
      <c r="B98" s="160"/>
      <c r="C98" s="161">
        <f>SUM(C94:L94)</f>
        <v>54449.347900599023</v>
      </c>
    </row>
    <row r="99" spans="1:12" x14ac:dyDescent="0.2">
      <c r="A99" s="183" t="s">
        <v>190</v>
      </c>
      <c r="B99" s="184"/>
      <c r="C99" s="185">
        <f>VD!E103</f>
        <v>3379</v>
      </c>
    </row>
    <row r="100" spans="1:12" x14ac:dyDescent="0.2">
      <c r="A100" s="92" t="s">
        <v>191</v>
      </c>
      <c r="B100" s="37"/>
      <c r="C100" s="156">
        <f>SUM(C98:C99)</f>
        <v>57828.347900599023</v>
      </c>
    </row>
    <row r="101" spans="1:12" x14ac:dyDescent="0.2">
      <c r="A101" s="183" t="s">
        <v>192</v>
      </c>
      <c r="B101" s="184"/>
      <c r="C101" s="186">
        <f>VD!E91/1000</f>
        <v>441.26299999999998</v>
      </c>
    </row>
    <row r="102" spans="1:12" ht="16" thickBot="1" x14ac:dyDescent="0.25">
      <c r="A102" s="157" t="s">
        <v>193</v>
      </c>
      <c r="B102" s="172"/>
      <c r="C102" s="159">
        <f>C100/C101</f>
        <v>131.05188493165986</v>
      </c>
    </row>
    <row r="105" spans="1:12" ht="16" thickBot="1" x14ac:dyDescent="0.25">
      <c r="A105" s="280" t="s">
        <v>194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</row>
    <row r="106" spans="1:12" x14ac:dyDescent="0.2">
      <c r="A106" s="187" t="s">
        <v>143</v>
      </c>
      <c r="B106" s="188">
        <f>VD!E53</f>
        <v>26167</v>
      </c>
      <c r="C106" s="189">
        <f>B106+C90-C75</f>
        <v>28223.541904039277</v>
      </c>
      <c r="D106" s="189">
        <f t="shared" ref="D106:L106" si="46">C106+D90-D75</f>
        <v>30445.344118408098</v>
      </c>
      <c r="E106" s="189">
        <f t="shared" si="46"/>
        <v>32845.832961307606</v>
      </c>
      <c r="F106" s="189">
        <f t="shared" si="46"/>
        <v>35439.534797683016</v>
      </c>
      <c r="G106" s="189">
        <f t="shared" si="46"/>
        <v>38242.166748266667</v>
      </c>
      <c r="H106" s="189">
        <f t="shared" si="46"/>
        <v>41270.734914623667</v>
      </c>
      <c r="I106" s="189">
        <f t="shared" si="46"/>
        <v>44543.640745220604</v>
      </c>
      <c r="J106" s="189">
        <f t="shared" si="46"/>
        <v>48080.796219654512</v>
      </c>
      <c r="K106" s="189">
        <f t="shared" si="46"/>
        <v>51903.748584650515</v>
      </c>
      <c r="L106" s="190">
        <f t="shared" si="46"/>
        <v>56035.815436626988</v>
      </c>
    </row>
    <row r="107" spans="1:12" x14ac:dyDescent="0.2">
      <c r="A107" s="191" t="s">
        <v>141</v>
      </c>
      <c r="B107" s="192">
        <f>VD!E50</f>
        <v>-3736</v>
      </c>
      <c r="C107" s="193">
        <f>B107+C88</f>
        <v>-4419.0711048454132</v>
      </c>
      <c r="D107" s="193">
        <f t="shared" ref="D107:L107" si="47">C107+D88</f>
        <v>-5157.0326753517402</v>
      </c>
      <c r="E107" s="193">
        <f t="shared" si="47"/>
        <v>-5954.3442024681563</v>
      </c>
      <c r="F107" s="193">
        <f t="shared" si="47"/>
        <v>-6815.8305527014045</v>
      </c>
      <c r="G107" s="193">
        <f t="shared" si="47"/>
        <v>-7746.7120967147512</v>
      </c>
      <c r="H107" s="193">
        <f t="shared" si="47"/>
        <v>-8752.6373343332561</v>
      </c>
      <c r="I107" s="193">
        <f t="shared" si="47"/>
        <v>-9839.71822355308</v>
      </c>
      <c r="J107" s="193">
        <f t="shared" si="47"/>
        <v>-11014.568438462888</v>
      </c>
      <c r="K107" s="193">
        <f t="shared" si="47"/>
        <v>-12284.344799742097</v>
      </c>
      <c r="L107" s="194">
        <f t="shared" si="47"/>
        <v>-13656.792141724765</v>
      </c>
    </row>
    <row r="108" spans="1:12" x14ac:dyDescent="0.2">
      <c r="A108" s="195" t="s">
        <v>147</v>
      </c>
      <c r="B108" s="196">
        <f>SUM(B106:B107)</f>
        <v>22431</v>
      </c>
      <c r="C108" s="196">
        <f t="shared" ref="C108:L108" si="48">SUM(C106:C107)</f>
        <v>23804.470799193863</v>
      </c>
      <c r="D108" s="196">
        <f t="shared" si="48"/>
        <v>25288.311443056358</v>
      </c>
      <c r="E108" s="196">
        <f t="shared" si="48"/>
        <v>26891.488758839449</v>
      </c>
      <c r="F108" s="196">
        <f t="shared" si="48"/>
        <v>28623.704244981611</v>
      </c>
      <c r="G108" s="196">
        <f t="shared" si="48"/>
        <v>30495.454651551918</v>
      </c>
      <c r="H108" s="196">
        <f t="shared" si="48"/>
        <v>32518.09758029041</v>
      </c>
      <c r="I108" s="196">
        <f t="shared" si="48"/>
        <v>34703.922521667526</v>
      </c>
      <c r="J108" s="196">
        <f t="shared" si="48"/>
        <v>37066.227781191628</v>
      </c>
      <c r="K108" s="196">
        <f t="shared" si="48"/>
        <v>39619.40378490842</v>
      </c>
      <c r="L108" s="197">
        <f t="shared" si="48"/>
        <v>42379.023294902225</v>
      </c>
    </row>
    <row r="109" spans="1:12" x14ac:dyDescent="0.2">
      <c r="A109" s="191" t="s">
        <v>183</v>
      </c>
      <c r="B109" s="198"/>
      <c r="C109" s="199">
        <f>C93/C108</f>
        <v>0.13389895869377635</v>
      </c>
      <c r="D109" s="199">
        <f t="shared" ref="D109:L109" si="49">D93/D108</f>
        <v>0.13640654663667962</v>
      </c>
      <c r="E109" s="199">
        <f t="shared" si="49"/>
        <v>0.13881277998011082</v>
      </c>
      <c r="F109" s="199">
        <f t="shared" si="49"/>
        <v>0.14111771453532915</v>
      </c>
      <c r="G109" s="199">
        <f t="shared" si="49"/>
        <v>0.14332194813718116</v>
      </c>
      <c r="H109" s="199">
        <f t="shared" si="49"/>
        <v>0.14542656801752066</v>
      </c>
      <c r="I109" s="199">
        <f t="shared" si="49"/>
        <v>0.14743309705420873</v>
      </c>
      <c r="J109" s="199">
        <f t="shared" si="49"/>
        <v>0.14934344002457359</v>
      </c>
      <c r="K109" s="199">
        <f t="shared" si="49"/>
        <v>0.15115983083558876</v>
      </c>
      <c r="L109" s="200">
        <f t="shared" si="49"/>
        <v>0.15132118988405815</v>
      </c>
    </row>
    <row r="110" spans="1:12" x14ac:dyDescent="0.2">
      <c r="A110" s="191" t="s">
        <v>184</v>
      </c>
      <c r="B110" s="198"/>
      <c r="C110" s="199">
        <f>C93/C39</f>
        <v>2.2867616558817205E-2</v>
      </c>
      <c r="D110" s="199">
        <f t="shared" ref="D110:L110" si="50">D93/D39</f>
        <v>2.2907219866118274E-2</v>
      </c>
      <c r="E110" s="199">
        <f t="shared" si="50"/>
        <v>2.2943905228859179E-2</v>
      </c>
      <c r="F110" s="199">
        <f t="shared" si="50"/>
        <v>2.2977885155580958E-2</v>
      </c>
      <c r="G110" s="199">
        <f t="shared" si="50"/>
        <v>2.300935689694349E-2</v>
      </c>
      <c r="H110" s="199">
        <f t="shared" si="50"/>
        <v>2.3038503522301055E-2</v>
      </c>
      <c r="I110" s="199">
        <f t="shared" si="50"/>
        <v>2.3065494921917458E-2</v>
      </c>
      <c r="J110" s="199">
        <f t="shared" si="50"/>
        <v>2.3090488739826113E-2</v>
      </c>
      <c r="K110" s="199">
        <f t="shared" si="50"/>
        <v>2.3113631242011008E-2</v>
      </c>
      <c r="L110" s="200">
        <f t="shared" si="50"/>
        <v>2.2898449983751536E-2</v>
      </c>
    </row>
    <row r="111" spans="1:12" x14ac:dyDescent="0.2">
      <c r="A111" s="191" t="s">
        <v>185</v>
      </c>
      <c r="B111" s="198"/>
      <c r="C111" s="201">
        <f>C106/C39</f>
        <v>0.2024867851627265</v>
      </c>
      <c r="D111" s="201">
        <f t="shared" ref="D111:L111" si="51">D106/D39</f>
        <v>0.20218001562125321</v>
      </c>
      <c r="E111" s="201">
        <f t="shared" si="51"/>
        <v>0.20188466057986759</v>
      </c>
      <c r="F111" s="201">
        <f t="shared" si="51"/>
        <v>0.20160007844693772</v>
      </c>
      <c r="G111" s="201">
        <f t="shared" si="51"/>
        <v>0.20132567133105969</v>
      </c>
      <c r="H111" s="201">
        <f t="shared" si="51"/>
        <v>0.20106088194992597</v>
      </c>
      <c r="I111" s="201">
        <f t="shared" si="51"/>
        <v>0.20080519075458486</v>
      </c>
      <c r="J111" s="201">
        <f t="shared" si="51"/>
        <v>0.20055811325452153</v>
      </c>
      <c r="K111" s="201">
        <f t="shared" si="51"/>
        <v>0.20031919752994404</v>
      </c>
      <c r="L111" s="202">
        <f t="shared" si="51"/>
        <v>0.20008802191854783</v>
      </c>
    </row>
    <row r="112" spans="1:12" ht="16" thickBot="1" x14ac:dyDescent="0.25">
      <c r="A112" s="203" t="s">
        <v>186</v>
      </c>
      <c r="B112" s="204"/>
      <c r="C112" s="205">
        <f>C106/C108</f>
        <v>1.1856403842002261</v>
      </c>
      <c r="D112" s="205">
        <f t="shared" ref="D112:L112" si="52">D106/D108</f>
        <v>1.2039294986920825</v>
      </c>
      <c r="E112" s="205">
        <f t="shared" si="52"/>
        <v>1.2214211439115998</v>
      </c>
      <c r="F112" s="205">
        <f t="shared" si="52"/>
        <v>1.2381183963601208</v>
      </c>
      <c r="G112" s="205">
        <f t="shared" si="52"/>
        <v>1.254028417848839</v>
      </c>
      <c r="H112" s="205">
        <f t="shared" si="52"/>
        <v>1.2691620354703139</v>
      </c>
      <c r="I112" s="205">
        <f t="shared" si="52"/>
        <v>1.2835333157918853</v>
      </c>
      <c r="J112" s="205">
        <f t="shared" si="52"/>
        <v>1.2971591418334716</v>
      </c>
      <c r="K112" s="205">
        <f t="shared" si="52"/>
        <v>1.3100588001382638</v>
      </c>
      <c r="L112" s="206">
        <f t="shared" si="52"/>
        <v>1.3222535839651486</v>
      </c>
    </row>
  </sheetData>
  <mergeCells count="9">
    <mergeCell ref="O21:Q21"/>
    <mergeCell ref="A35:L35"/>
    <mergeCell ref="A97:C97"/>
    <mergeCell ref="A105:L105"/>
    <mergeCell ref="G5:I5"/>
    <mergeCell ref="A7:E7"/>
    <mergeCell ref="G11:O11"/>
    <mergeCell ref="H12:K12"/>
    <mergeCell ref="L12:O1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RG!C13:F13</xm:f>
              <xm:sqref>E9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RG!C16:F16</xm:f>
              <xm:sqref>E10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RG!C19:F19</xm:f>
              <xm:sqref>E11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VD!B16:F16</xm:f>
              <xm:sqref>E13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VD!B17:F17</xm:f>
              <xm:sqref>E14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VD!B18:F18</xm:f>
              <xm:sqref>E15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VD!B23:F23</xm:f>
              <xm:sqref>E17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VD!B24:F24</xm:f>
              <xm:sqref>E18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VD!B25:F25</xm:f>
              <xm:sqref>E19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VD!B28:F28</xm:f>
              <xm:sqref>E20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VD!B29:F29</xm:f>
              <xm:sqref>E21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VD!C32:F32</xm:f>
              <xm:sqref>E23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VD!C33:F33</xm:f>
              <xm:sqref>E24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'Tuned P-DCF'!C109:L109</xm:f>
              <xm:sqref>K14</xm:sqref>
            </x14:sparkline>
            <x14:sparkline>
              <xm:f>'Tuned P-DCF'!C110:L110</xm:f>
              <xm:sqref>K15</xm:sqref>
            </x14:sparkline>
            <x14:sparkline>
              <xm:f>'Tuned P-DCF'!C111:L111</xm:f>
              <xm:sqref>K16</xm:sqref>
            </x14:sparkline>
            <x14:sparkline>
              <xm:f>'Tuned P-DCF'!C112:L112</xm:f>
              <xm:sqref>K17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VD!B36:F36</xm:f>
              <xm:sqref>O14</xm:sqref>
            </x14:sparkline>
            <x14:sparkline>
              <xm:f>VD!B37:F37</xm:f>
              <xm:sqref>O15</xm:sqref>
            </x14:sparkline>
            <x14:sparkline>
              <xm:f>VD!B38:F38</xm:f>
              <xm:sqref>O16</xm:sqref>
            </x14:sparkline>
            <x14:sparkline>
              <xm:f>VD!B39:F39</xm:f>
              <xm:sqref>O17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75" workbookViewId="0">
      <selection activeCell="A6" sqref="A6"/>
    </sheetView>
  </sheetViews>
  <sheetFormatPr baseColWidth="10" defaultColWidth="11.5" defaultRowHeight="15" x14ac:dyDescent="0.2"/>
  <cols>
    <col min="1" max="1" width="48" bestFit="1" customWidth="1"/>
    <col min="3" max="3" width="12.33203125" bestFit="1" customWidth="1"/>
  </cols>
  <sheetData>
    <row r="1" spans="1:15" x14ac:dyDescent="0.2">
      <c r="A1" s="1" t="s">
        <v>3</v>
      </c>
    </row>
    <row r="2" spans="1:15" x14ac:dyDescent="0.2">
      <c r="A2" s="1" t="s">
        <v>2</v>
      </c>
    </row>
    <row r="3" spans="1:15" x14ac:dyDescent="0.2">
      <c r="A3" s="1" t="s">
        <v>250</v>
      </c>
    </row>
    <row r="4" spans="1:15" x14ac:dyDescent="0.2">
      <c r="A4" s="1" t="s">
        <v>117</v>
      </c>
    </row>
    <row r="5" spans="1:15" ht="16" thickBot="1" x14ac:dyDescent="0.25">
      <c r="A5" s="1" t="s">
        <v>1</v>
      </c>
      <c r="G5" s="279" t="s">
        <v>173</v>
      </c>
      <c r="H5" s="279"/>
      <c r="I5" s="279"/>
    </row>
    <row r="6" spans="1:15" x14ac:dyDescent="0.2">
      <c r="G6" s="90" t="s">
        <v>174</v>
      </c>
      <c r="H6" s="160"/>
      <c r="I6" s="210">
        <v>0.1</v>
      </c>
    </row>
    <row r="7" spans="1:15" ht="16" thickBot="1" x14ac:dyDescent="0.25">
      <c r="A7" s="282" t="s">
        <v>102</v>
      </c>
      <c r="B7" s="282"/>
      <c r="C7" s="282"/>
      <c r="D7" s="282"/>
      <c r="E7" s="282"/>
      <c r="G7" s="92" t="s">
        <v>175</v>
      </c>
      <c r="H7" s="37"/>
      <c r="I7" s="269">
        <v>8.7999999999999995E-2</v>
      </c>
    </row>
    <row r="8" spans="1:15" ht="16" thickBot="1" x14ac:dyDescent="0.25">
      <c r="A8" s="116" t="s">
        <v>154</v>
      </c>
      <c r="B8" s="117" t="s">
        <v>87</v>
      </c>
      <c r="C8" s="117" t="s">
        <v>84</v>
      </c>
      <c r="D8" s="117" t="s">
        <v>85</v>
      </c>
      <c r="E8" s="118" t="s">
        <v>149</v>
      </c>
      <c r="G8" s="157" t="s">
        <v>176</v>
      </c>
      <c r="H8" s="172"/>
      <c r="I8" s="207">
        <v>1.4999999999999999E-2</v>
      </c>
    </row>
    <row r="9" spans="1:15" x14ac:dyDescent="0.2">
      <c r="A9" s="92" t="str">
        <f>[1]RG!A12</f>
        <v>United States Operations</v>
      </c>
      <c r="B9" s="93">
        <v>8.4400000000000003E-2</v>
      </c>
      <c r="C9" s="93">
        <f>[1]RG!G13</f>
        <v>5.6250585510557283E-2</v>
      </c>
      <c r="D9" s="93">
        <f>[1]RG!H13</f>
        <v>1.9834015703874136E-2</v>
      </c>
      <c r="E9" s="156"/>
    </row>
    <row r="10" spans="1:15" x14ac:dyDescent="0.2">
      <c r="A10" s="92" t="str">
        <f>[1]RG!A15</f>
        <v>Canadian Operations</v>
      </c>
      <c r="B10" s="93">
        <v>0.06</v>
      </c>
      <c r="C10" s="93">
        <f>[1]RG!G16</f>
        <v>2.3867057644578915E-2</v>
      </c>
      <c r="D10" s="93">
        <f>[1]RG!H16</f>
        <v>4.1305847320745104E-2</v>
      </c>
      <c r="E10" s="156"/>
    </row>
    <row r="11" spans="1:15" ht="16" thickBot="1" x14ac:dyDescent="0.25">
      <c r="A11" s="167" t="str">
        <f>[1]RG!A18</f>
        <v>Other International Operations</v>
      </c>
      <c r="B11" s="168">
        <v>0.08</v>
      </c>
      <c r="C11" s="168">
        <f>[1]RG!G19</f>
        <v>7.0898597572781275E-2</v>
      </c>
      <c r="D11" s="168">
        <f>[1]RG!H19</f>
        <v>6.3340694872701109E-2</v>
      </c>
      <c r="E11" s="169"/>
      <c r="G11" s="279" t="s">
        <v>127</v>
      </c>
      <c r="H11" s="279"/>
      <c r="I11" s="279"/>
      <c r="J11" s="279"/>
      <c r="K11" s="279"/>
      <c r="L11" s="279"/>
      <c r="M11" s="279"/>
      <c r="N11" s="279"/>
      <c r="O11" s="279"/>
    </row>
    <row r="12" spans="1:15" x14ac:dyDescent="0.2">
      <c r="A12" s="36" t="s">
        <v>155</v>
      </c>
      <c r="B12" s="37"/>
      <c r="C12" s="37"/>
      <c r="D12" s="37"/>
      <c r="E12" s="156"/>
      <c r="G12" s="90"/>
      <c r="H12" s="276" t="s">
        <v>181</v>
      </c>
      <c r="I12" s="276"/>
      <c r="J12" s="276"/>
      <c r="K12" s="277"/>
      <c r="L12" s="276" t="s">
        <v>182</v>
      </c>
      <c r="M12" s="276"/>
      <c r="N12" s="276"/>
      <c r="O12" s="278"/>
    </row>
    <row r="13" spans="1:15" x14ac:dyDescent="0.2">
      <c r="A13" s="92" t="str">
        <f>[1]VD!A16</f>
        <v>Merchandise costs, Net D&amp;A</v>
      </c>
      <c r="B13" s="93">
        <v>0.85</v>
      </c>
      <c r="C13" s="93">
        <f>[1]VD!G16</f>
        <v>0.86062483623861596</v>
      </c>
      <c r="D13" s="93">
        <f>[1]VD!H16</f>
        <v>4.3725479093434808E-3</v>
      </c>
      <c r="E13" s="156"/>
      <c r="G13" s="92"/>
      <c r="H13" s="37" t="s">
        <v>151</v>
      </c>
      <c r="I13" s="37" t="s">
        <v>152</v>
      </c>
      <c r="J13" s="37" t="s">
        <v>153</v>
      </c>
      <c r="K13" s="208" t="s">
        <v>149</v>
      </c>
      <c r="L13" s="37" t="s">
        <v>151</v>
      </c>
      <c r="M13" s="37" t="s">
        <v>152</v>
      </c>
      <c r="N13" s="37" t="s">
        <v>153</v>
      </c>
      <c r="O13" s="156" t="s">
        <v>149</v>
      </c>
    </row>
    <row r="14" spans="1:15" x14ac:dyDescent="0.2">
      <c r="A14" s="92" t="str">
        <f>[1]VD!A17</f>
        <v>Selling, general and administrative</v>
      </c>
      <c r="B14" s="93">
        <v>0.09</v>
      </c>
      <c r="C14" s="93">
        <f>[1]VD!G17</f>
        <v>9.8672034459918651E-2</v>
      </c>
      <c r="D14" s="93">
        <f>[1]VD!H17</f>
        <v>2.4857719296725654E-3</v>
      </c>
      <c r="E14" s="156"/>
      <c r="G14" s="92" t="s">
        <v>183</v>
      </c>
      <c r="H14" s="93">
        <f>MIN(C109:L109)</f>
        <v>0.13389895869377635</v>
      </c>
      <c r="I14" s="93">
        <f>AVERAGE(C109:L109)</f>
        <v>0.1438242073799027</v>
      </c>
      <c r="J14" s="93">
        <f>MAX(C109:L109)</f>
        <v>0.15132118988405815</v>
      </c>
      <c r="K14" s="208"/>
      <c r="L14" s="93">
        <f>[1]VD!G36</f>
        <v>0.10232188137025738</v>
      </c>
      <c r="M14" s="93">
        <f>[1]VD!H36</f>
        <v>0.10976371184952208</v>
      </c>
      <c r="N14" s="93">
        <f>[1]VD!I36</f>
        <v>0.1244307176883209</v>
      </c>
      <c r="O14" s="156"/>
    </row>
    <row r="15" spans="1:15" x14ac:dyDescent="0.2">
      <c r="A15" s="167" t="str">
        <f>[1]VD!A18</f>
        <v>Preopening expenses</v>
      </c>
      <c r="B15" s="168">
        <f t="shared" ref="B15:B24" si="0">C15</f>
        <v>5.7924645256212759E-4</v>
      </c>
      <c r="C15" s="168">
        <f>[1]VD!G18</f>
        <v>5.7924645256212759E-4</v>
      </c>
      <c r="D15" s="168">
        <f>[1]VD!H18</f>
        <v>7.05487067068761E-5</v>
      </c>
      <c r="E15" s="169"/>
      <c r="G15" s="92" t="s">
        <v>184</v>
      </c>
      <c r="H15" s="93">
        <f t="shared" ref="H15:H17" si="1">MIN(C110:L110)</f>
        <v>2.2867616558817205E-2</v>
      </c>
      <c r="I15" s="93">
        <f t="shared" ref="I15:I17" si="2">AVERAGE(C110:L110)</f>
        <v>2.2991255211612625E-2</v>
      </c>
      <c r="J15" s="93">
        <f t="shared" ref="J15:J17" si="3">MAX(C110:L110)</f>
        <v>2.3113631242011008E-2</v>
      </c>
      <c r="K15" s="208"/>
      <c r="L15" s="93">
        <f>[1]VD!G37</f>
        <v>1.8270596590908975E-2</v>
      </c>
      <c r="M15" s="93">
        <f>[1]VD!H37</f>
        <v>1.9477940795130884E-2</v>
      </c>
      <c r="N15" s="93">
        <f>[1]VD!I37</f>
        <v>2.0456286198676357E-2</v>
      </c>
      <c r="O15" s="156"/>
    </row>
    <row r="16" spans="1:15" x14ac:dyDescent="0.2">
      <c r="A16" s="36" t="s">
        <v>120</v>
      </c>
      <c r="B16" s="37"/>
      <c r="C16" s="37"/>
      <c r="D16" s="37"/>
      <c r="E16" s="156"/>
      <c r="G16" s="92" t="s">
        <v>185</v>
      </c>
      <c r="H16" s="93">
        <f t="shared" si="1"/>
        <v>0.20008802191854783</v>
      </c>
      <c r="I16" s="93">
        <f t="shared" si="2"/>
        <v>0.20123086165493689</v>
      </c>
      <c r="J16" s="93">
        <f t="shared" si="3"/>
        <v>0.2024867851627265</v>
      </c>
      <c r="K16" s="208"/>
      <c r="L16" s="93">
        <f>[1]VD!G38</f>
        <v>0.19991251093613299</v>
      </c>
      <c r="M16" s="93">
        <f>[1]VD!H38</f>
        <v>0.20631985262914473</v>
      </c>
      <c r="N16" s="93">
        <f>[1]VD!I38</f>
        <v>0.22041122314035663</v>
      </c>
      <c r="O16" s="156"/>
    </row>
    <row r="17" spans="1:28" ht="16" thickBot="1" x14ac:dyDescent="0.25">
      <c r="A17" s="92" t="str">
        <f>[1]VD!A23</f>
        <v>Interest expense as % of Total Debt</v>
      </c>
      <c r="B17" s="93">
        <f t="shared" si="0"/>
        <v>2.1620095844034161E-2</v>
      </c>
      <c r="C17" s="93">
        <f>[1]VD!G23</f>
        <v>2.1620095844034161E-2</v>
      </c>
      <c r="D17" s="93">
        <f>[1]VD!H23</f>
        <v>2.7234702076473546E-3</v>
      </c>
      <c r="E17" s="156"/>
      <c r="G17" s="157" t="s">
        <v>186</v>
      </c>
      <c r="H17" s="158">
        <f t="shared" si="1"/>
        <v>1.1856403842002261</v>
      </c>
      <c r="I17" s="158">
        <f t="shared" si="2"/>
        <v>1.2585304718211949</v>
      </c>
      <c r="J17" s="158">
        <f t="shared" si="3"/>
        <v>1.3222535839651486</v>
      </c>
      <c r="K17" s="209"/>
      <c r="L17" s="158">
        <f>[1]VD!G39</f>
        <v>1.1086967986920522</v>
      </c>
      <c r="M17" s="158">
        <f>[1]VD!H39</f>
        <v>1.1603476559923596</v>
      </c>
      <c r="N17" s="158">
        <f>[1]VD!I39</f>
        <v>1.2387583102130555</v>
      </c>
      <c r="O17" s="159"/>
    </row>
    <row r="18" spans="1:28" ht="16" thickBot="1" x14ac:dyDescent="0.25">
      <c r="A18" s="92" t="str">
        <f>[1]VD!A24</f>
        <v>Interest income and other, net as % of Rev</v>
      </c>
      <c r="B18" s="93">
        <f>C18</f>
        <v>-7.5416963722480662E-4</v>
      </c>
      <c r="C18" s="93">
        <f>[1]VD!G24</f>
        <v>-7.5416963722480662E-4</v>
      </c>
      <c r="D18" s="93">
        <f>[1]VD!H24</f>
        <v>1.1238653145296337E-4</v>
      </c>
      <c r="E18" s="156"/>
      <c r="G18" s="203" t="s">
        <v>187</v>
      </c>
      <c r="H18" s="206">
        <f>L94/C98</f>
        <v>0.55108744199336768</v>
      </c>
    </row>
    <row r="19" spans="1:28" x14ac:dyDescent="0.2">
      <c r="A19" s="92" t="str">
        <f>[1]VD!A25</f>
        <v>Depreciation &amp; Amortization as % of Rev</v>
      </c>
      <c r="B19" s="93">
        <f t="shared" si="0"/>
        <v>9.8039225974732337E-3</v>
      </c>
      <c r="C19" s="93">
        <f>[1]VD!G25</f>
        <v>9.8039225974732337E-3</v>
      </c>
      <c r="D19" s="93">
        <f>[1]VD!H25</f>
        <v>7.1496877963147371E-4</v>
      </c>
      <c r="E19" s="156"/>
    </row>
    <row r="20" spans="1:28" x14ac:dyDescent="0.2">
      <c r="A20" s="92" t="str">
        <f>[1]VD!A28</f>
        <v>Provision for income taxes (as % of EBT)</v>
      </c>
      <c r="B20" s="93">
        <f t="shared" si="0"/>
        <v>0.3348928106324055</v>
      </c>
      <c r="C20" s="93">
        <f>[1]VD!G28</f>
        <v>0.3348928106324055</v>
      </c>
      <c r="D20" s="93">
        <f>[1]VD!H28</f>
        <v>1.0408472966511508E-2</v>
      </c>
      <c r="E20" s="156"/>
    </row>
    <row r="21" spans="1:28" ht="16" thickBot="1" x14ac:dyDescent="0.25">
      <c r="A21" s="167" t="str">
        <f>[1]VD!A29</f>
        <v>Net income attributable to noncontrolling interests as % of Rev</v>
      </c>
      <c r="B21" s="168">
        <f t="shared" si="0"/>
        <v>2.4824152763800638E-4</v>
      </c>
      <c r="C21" s="168">
        <f>[1]VD!G29</f>
        <v>2.4824152763800638E-4</v>
      </c>
      <c r="D21" s="168">
        <f>[1]VD!H29</f>
        <v>3.3215998262595775E-5</v>
      </c>
      <c r="E21" s="169"/>
      <c r="O21" s="275" t="s">
        <v>177</v>
      </c>
      <c r="P21" s="275"/>
      <c r="Q21" s="275"/>
    </row>
    <row r="22" spans="1:28" x14ac:dyDescent="0.2">
      <c r="A22" s="36" t="s">
        <v>124</v>
      </c>
      <c r="B22" s="37"/>
      <c r="C22" s="37"/>
      <c r="D22" s="37"/>
      <c r="E22" s="156"/>
      <c r="O22" s="90" t="s">
        <v>178</v>
      </c>
      <c r="P22" s="160"/>
      <c r="Q22" s="236">
        <f>C102</f>
        <v>131.05188493165986</v>
      </c>
    </row>
    <row r="23" spans="1:28" x14ac:dyDescent="0.2">
      <c r="A23" s="92" t="str">
        <f>[1]VD!A32</f>
        <v>Change in Working Capital</v>
      </c>
      <c r="B23" s="93">
        <f t="shared" si="0"/>
        <v>-4.9006206424397963E-3</v>
      </c>
      <c r="C23" s="93">
        <f>[1]VD!G32</f>
        <v>-4.9006206424397963E-3</v>
      </c>
      <c r="D23" s="93">
        <f>[1]VD!H32</f>
        <v>1.2082579974031019E-2</v>
      </c>
      <c r="E23" s="156"/>
      <c r="O23" s="92" t="s">
        <v>179</v>
      </c>
      <c r="P23" s="37"/>
      <c r="Q23" s="156">
        <v>157.49</v>
      </c>
    </row>
    <row r="24" spans="1:28" ht="16" thickBot="1" x14ac:dyDescent="0.25">
      <c r="A24" s="157" t="str">
        <f>[1]VD!A33</f>
        <v>Capital Expenditures (CAPEX)</v>
      </c>
      <c r="B24" s="158">
        <f t="shared" si="0"/>
        <v>2.4558362706981533E-2</v>
      </c>
      <c r="C24" s="158">
        <f>[1]VD!G33</f>
        <v>2.4558362706981533E-2</v>
      </c>
      <c r="D24" s="158">
        <f>[1]VD!H33</f>
        <v>6.7533592350091627E-3</v>
      </c>
      <c r="E24" s="159"/>
      <c r="O24" s="157" t="s">
        <v>180</v>
      </c>
      <c r="P24" s="172"/>
      <c r="Q24" s="207">
        <f>Q22/Q23-1</f>
        <v>-0.16787170657400563</v>
      </c>
    </row>
    <row r="25" spans="1:28" x14ac:dyDescent="0.2">
      <c r="A25" s="164" t="s">
        <v>156</v>
      </c>
      <c r="B25" s="165" t="s">
        <v>87</v>
      </c>
      <c r="C25" s="165" t="s">
        <v>151</v>
      </c>
      <c r="D25" s="165" t="s">
        <v>152</v>
      </c>
      <c r="E25" s="166" t="s">
        <v>153</v>
      </c>
    </row>
    <row r="26" spans="1:28" ht="16" thickBot="1" x14ac:dyDescent="0.25">
      <c r="A26" s="162" t="s">
        <v>157</v>
      </c>
      <c r="B26" s="170">
        <v>1</v>
      </c>
      <c r="C26" s="163">
        <f>[1]VD!G43</f>
        <v>0.87839303492362009</v>
      </c>
      <c r="D26" s="163">
        <f>[1]VD!H43</f>
        <v>2.1085940280334432</v>
      </c>
      <c r="E26" s="171">
        <f>[1]VD!I43</f>
        <v>3.7392253543153839</v>
      </c>
    </row>
    <row r="31" spans="1:28" x14ac:dyDescent="0.2">
      <c r="P31" s="11"/>
      <c r="AB31" s="11"/>
    </row>
    <row r="35" spans="1:13" ht="16" thickBot="1" x14ac:dyDescent="0.25">
      <c r="A35" s="279" t="s">
        <v>195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</row>
    <row r="36" spans="1:13" x14ac:dyDescent="0.2">
      <c r="A36" s="173" t="s">
        <v>158</v>
      </c>
      <c r="B36" s="174"/>
      <c r="C36" s="175">
        <v>1</v>
      </c>
      <c r="D36" s="174">
        <v>2</v>
      </c>
      <c r="E36" s="174">
        <v>3</v>
      </c>
      <c r="F36" s="174">
        <v>4</v>
      </c>
      <c r="G36" s="174">
        <v>5</v>
      </c>
      <c r="H36" s="174">
        <v>6</v>
      </c>
      <c r="I36" s="174">
        <v>7</v>
      </c>
      <c r="J36" s="174">
        <v>8</v>
      </c>
      <c r="K36" s="174">
        <v>9</v>
      </c>
      <c r="L36" s="176">
        <v>10</v>
      </c>
    </row>
    <row r="37" spans="1:13" ht="16" thickBot="1" x14ac:dyDescent="0.25">
      <c r="A37" s="177" t="s">
        <v>89</v>
      </c>
      <c r="B37" s="178">
        <v>2017</v>
      </c>
      <c r="C37" s="179" t="s">
        <v>91</v>
      </c>
      <c r="D37" s="180" t="s">
        <v>92</v>
      </c>
      <c r="E37" s="180" t="s">
        <v>93</v>
      </c>
      <c r="F37" s="180" t="s">
        <v>94</v>
      </c>
      <c r="G37" s="180" t="s">
        <v>95</v>
      </c>
      <c r="H37" s="180" t="s">
        <v>96</v>
      </c>
      <c r="I37" s="180" t="s">
        <v>97</v>
      </c>
      <c r="J37" s="180" t="s">
        <v>98</v>
      </c>
      <c r="K37" s="180" t="s">
        <v>99</v>
      </c>
      <c r="L37" s="181" t="s">
        <v>100</v>
      </c>
    </row>
    <row r="38" spans="1:13" x14ac:dyDescent="0.2">
      <c r="C38" s="12"/>
      <c r="M38" s="60" t="s">
        <v>148</v>
      </c>
    </row>
    <row r="39" spans="1:13" x14ac:dyDescent="0.2">
      <c r="A39" s="11" t="s">
        <v>159</v>
      </c>
      <c r="B39">
        <f>SUM(B43,B47,B51)</f>
        <v>129025</v>
      </c>
      <c r="C39" s="127">
        <f>SUM(C43,C47,C51)</f>
        <v>139384.6116</v>
      </c>
      <c r="D39" s="126">
        <f t="shared" ref="D39:L39" si="4">SUM(D43,D47,D51)</f>
        <v>150585.32874704001</v>
      </c>
      <c r="E39" s="126">
        <f t="shared" si="4"/>
        <v>162696.03082753019</v>
      </c>
      <c r="F39" s="126">
        <f t="shared" si="4"/>
        <v>175791.27483827295</v>
      </c>
      <c r="G39" s="126">
        <f t="shared" si="4"/>
        <v>189951.76569102952</v>
      </c>
      <c r="H39" s="126">
        <f t="shared" si="4"/>
        <v>205264.86561867417</v>
      </c>
      <c r="I39" s="126">
        <f t="shared" si="4"/>
        <v>221825.14594286485</v>
      </c>
      <c r="J39" s="126">
        <f t="shared" si="4"/>
        <v>239734.98473550554</v>
      </c>
      <c r="K39" s="126">
        <f t="shared" si="4"/>
        <v>259105.21420140902</v>
      </c>
      <c r="L39" s="126">
        <f t="shared" si="4"/>
        <v>280055.82192940137</v>
      </c>
      <c r="M39" s="48"/>
    </row>
    <row r="40" spans="1:13" x14ac:dyDescent="0.2">
      <c r="A40" s="134" t="s">
        <v>160</v>
      </c>
      <c r="B40" s="134"/>
      <c r="C40" s="32">
        <f>C39/B39-1</f>
        <v>8.0291506297229143E-2</v>
      </c>
      <c r="D40" s="137">
        <f t="shared" ref="D40:L40" si="5">D39/C39-1</f>
        <v>8.0358348159575543E-2</v>
      </c>
      <c r="E40" s="137">
        <f t="shared" si="5"/>
        <v>8.0424183293674512E-2</v>
      </c>
      <c r="F40" s="137">
        <f t="shared" si="5"/>
        <v>8.0489019579246479E-2</v>
      </c>
      <c r="G40" s="137">
        <f t="shared" si="5"/>
        <v>8.0552865128170614E-2</v>
      </c>
      <c r="H40" s="137">
        <f t="shared" si="5"/>
        <v>8.0615728271526299E-2</v>
      </c>
      <c r="I40" s="137">
        <f t="shared" si="5"/>
        <v>8.0677617546858427E-2</v>
      </c>
      <c r="J40" s="137">
        <f t="shared" si="5"/>
        <v>8.0738541685682952E-2</v>
      </c>
      <c r="K40" s="137">
        <f t="shared" si="5"/>
        <v>8.0798509601234247E-2</v>
      </c>
      <c r="L40" s="137">
        <f t="shared" si="5"/>
        <v>8.0857530376470699E-2</v>
      </c>
      <c r="M40" s="49">
        <f>[1]VD!H13</f>
        <v>2.6181836462256285E-2</v>
      </c>
    </row>
    <row r="41" spans="1:13" x14ac:dyDescent="0.2">
      <c r="C41" s="12"/>
      <c r="M41" s="48"/>
    </row>
    <row r="42" spans="1:13" x14ac:dyDescent="0.2">
      <c r="A42" s="11" t="s">
        <v>161</v>
      </c>
      <c r="C42" s="12"/>
      <c r="M42" s="48"/>
    </row>
    <row r="43" spans="1:13" x14ac:dyDescent="0.2">
      <c r="A43" s="131" t="str">
        <f>A9</f>
        <v>United States Operations</v>
      </c>
      <c r="B43" s="131">
        <f>[1]RG!B28</f>
        <v>93889</v>
      </c>
      <c r="C43" s="143">
        <f>B43*(1+C44)</f>
        <v>101813.2316</v>
      </c>
      <c r="D43" s="144">
        <f t="shared" ref="D43:L43" si="6">C43*(1+D44)</f>
        <v>110406.26834704001</v>
      </c>
      <c r="E43" s="144">
        <f t="shared" si="6"/>
        <v>119724.5573955302</v>
      </c>
      <c r="F43" s="144">
        <f t="shared" si="6"/>
        <v>129829.31003971295</v>
      </c>
      <c r="G43" s="144">
        <f t="shared" si="6"/>
        <v>140786.90380706472</v>
      </c>
      <c r="H43" s="144">
        <f t="shared" si="6"/>
        <v>152669.31848838099</v>
      </c>
      <c r="I43" s="144">
        <f t="shared" si="6"/>
        <v>165554.60896880034</v>
      </c>
      <c r="J43" s="144">
        <f t="shared" si="6"/>
        <v>179527.41796576709</v>
      </c>
      <c r="K43" s="144">
        <f t="shared" si="6"/>
        <v>194679.53204207783</v>
      </c>
      <c r="L43" s="144">
        <f t="shared" si="6"/>
        <v>211110.48454642922</v>
      </c>
      <c r="M43" s="48"/>
    </row>
    <row r="44" spans="1:13" x14ac:dyDescent="0.2">
      <c r="A44" s="30" t="s">
        <v>160</v>
      </c>
      <c r="B44" s="30"/>
      <c r="C44" s="261">
        <v>8.4400000000000003E-2</v>
      </c>
      <c r="D44" s="262">
        <v>8.4400000000000003E-2</v>
      </c>
      <c r="E44" s="262">
        <v>8.4400000000000003E-2</v>
      </c>
      <c r="F44" s="262">
        <v>8.4400000000000003E-2</v>
      </c>
      <c r="G44" s="262">
        <v>8.4400000000000003E-2</v>
      </c>
      <c r="H44" s="262">
        <v>8.4400000000000003E-2</v>
      </c>
      <c r="I44" s="262">
        <v>8.4400000000000003E-2</v>
      </c>
      <c r="J44" s="262">
        <v>8.4400000000000003E-2</v>
      </c>
      <c r="K44" s="262">
        <v>8.4400000000000003E-2</v>
      </c>
      <c r="L44" s="262">
        <v>8.4400000000000003E-2</v>
      </c>
      <c r="M44" s="49">
        <f>D9</f>
        <v>1.9834015703874136E-2</v>
      </c>
    </row>
    <row r="45" spans="1:13" x14ac:dyDescent="0.2">
      <c r="A45" s="30" t="s">
        <v>168</v>
      </c>
      <c r="B45" s="30"/>
      <c r="C45" s="32">
        <f>C43/C39</f>
        <v>0.73044814941393432</v>
      </c>
      <c r="D45" s="33">
        <f t="shared" ref="D45:L45" si="7">D43/D39</f>
        <v>0.73318077707626761</v>
      </c>
      <c r="E45" s="33">
        <f t="shared" si="7"/>
        <v>0.73587878442128107</v>
      </c>
      <c r="F45" s="33">
        <f t="shared" si="7"/>
        <v>0.73854240012284589</v>
      </c>
      <c r="G45" s="33">
        <f t="shared" si="7"/>
        <v>0.74117186168232285</v>
      </c>
      <c r="H45" s="33">
        <f t="shared" si="7"/>
        <v>0.74376741498468968</v>
      </c>
      <c r="I45" s="33">
        <f t="shared" si="7"/>
        <v>0.74632931386165735</v>
      </c>
      <c r="J45" s="33">
        <f t="shared" si="7"/>
        <v>0.74885781966214005</v>
      </c>
      <c r="K45" s="33">
        <f t="shared" si="7"/>
        <v>0.75135320083041057</v>
      </c>
      <c r="L45" s="33">
        <f t="shared" si="7"/>
        <v>0.75381573249224421</v>
      </c>
      <c r="M45" s="48"/>
    </row>
    <row r="46" spans="1:13" x14ac:dyDescent="0.2">
      <c r="A46" s="13"/>
      <c r="B46" s="13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48"/>
    </row>
    <row r="47" spans="1:13" x14ac:dyDescent="0.2">
      <c r="A47" s="13" t="str">
        <f>A10</f>
        <v>Canadian Operations</v>
      </c>
      <c r="B47" s="13">
        <f>[1]RG!B31</f>
        <v>18775</v>
      </c>
      <c r="C47" s="127">
        <f>B47*(1+C48)</f>
        <v>19901.5</v>
      </c>
      <c r="D47" s="149">
        <f t="shared" ref="D47:L47" si="8">C47*(1+D48)</f>
        <v>21095.59</v>
      </c>
      <c r="E47" s="149">
        <f t="shared" si="8"/>
        <v>22361.325400000002</v>
      </c>
      <c r="F47" s="149">
        <f t="shared" si="8"/>
        <v>23703.004924000004</v>
      </c>
      <c r="G47" s="149">
        <f t="shared" si="8"/>
        <v>25125.185219440005</v>
      </c>
      <c r="H47" s="149">
        <f t="shared" si="8"/>
        <v>26632.696332606407</v>
      </c>
      <c r="I47" s="149">
        <f t="shared" si="8"/>
        <v>28230.658112562793</v>
      </c>
      <c r="J47" s="149">
        <f t="shared" si="8"/>
        <v>29924.497599316561</v>
      </c>
      <c r="K47" s="149">
        <f t="shared" si="8"/>
        <v>31719.967455275557</v>
      </c>
      <c r="L47" s="149">
        <f t="shared" si="8"/>
        <v>33623.165502592092</v>
      </c>
      <c r="M47" s="48"/>
    </row>
    <row r="48" spans="1:13" x14ac:dyDescent="0.2">
      <c r="A48" s="30" t="s">
        <v>160</v>
      </c>
      <c r="B48" s="30"/>
      <c r="C48" s="261">
        <v>0.06</v>
      </c>
      <c r="D48" s="262">
        <v>0.06</v>
      </c>
      <c r="E48" s="262">
        <v>0.06</v>
      </c>
      <c r="F48" s="262">
        <v>0.06</v>
      </c>
      <c r="G48" s="262">
        <v>0.06</v>
      </c>
      <c r="H48" s="262">
        <v>0.06</v>
      </c>
      <c r="I48" s="262">
        <v>0.06</v>
      </c>
      <c r="J48" s="262">
        <v>0.06</v>
      </c>
      <c r="K48" s="262">
        <v>0.06</v>
      </c>
      <c r="L48" s="262">
        <v>0.06</v>
      </c>
      <c r="M48" s="49">
        <f>D10</f>
        <v>4.1305847320745104E-2</v>
      </c>
    </row>
    <row r="49" spans="1:13" x14ac:dyDescent="0.2">
      <c r="A49" s="30" t="s">
        <v>168</v>
      </c>
      <c r="B49" s="30"/>
      <c r="C49" s="32">
        <f>C47/C39</f>
        <v>0.14278118489229266</v>
      </c>
      <c r="D49" s="33">
        <f t="shared" ref="D49:L49" si="9">D47/D39</f>
        <v>0.14009060627305411</v>
      </c>
      <c r="E49" s="33">
        <f t="shared" si="9"/>
        <v>0.13744235361036347</v>
      </c>
      <c r="F49" s="33">
        <f t="shared" si="9"/>
        <v>0.13483607161849553</v>
      </c>
      <c r="G49" s="33">
        <f t="shared" si="9"/>
        <v>0.13227139599380172</v>
      </c>
      <c r="H49" s="33">
        <f t="shared" si="9"/>
        <v>0.12974795395371097</v>
      </c>
      <c r="I49" s="33">
        <f t="shared" si="9"/>
        <v>0.12726536476542707</v>
      </c>
      <c r="J49" s="33">
        <f t="shared" si="9"/>
        <v>0.12482324026395904</v>
      </c>
      <c r="K49" s="33">
        <f t="shared" si="9"/>
        <v>0.12242118535916002</v>
      </c>
      <c r="L49" s="33">
        <f t="shared" si="9"/>
        <v>0.12005879853148733</v>
      </c>
      <c r="M49" s="48"/>
    </row>
    <row r="50" spans="1:13" x14ac:dyDescent="0.2">
      <c r="A50" s="13"/>
      <c r="B50" s="13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48"/>
    </row>
    <row r="51" spans="1:13" x14ac:dyDescent="0.2">
      <c r="A51" s="13" t="str">
        <f>A11</f>
        <v>Other International Operations</v>
      </c>
      <c r="B51" s="13">
        <f>[1]RG!B34</f>
        <v>16361</v>
      </c>
      <c r="C51" s="127">
        <f>B51*(1+C52)</f>
        <v>17669.88</v>
      </c>
      <c r="D51" s="149">
        <f t="shared" ref="D51:L51" si="10">C51*(1+D52)</f>
        <v>19083.470400000002</v>
      </c>
      <c r="E51" s="149">
        <f t="shared" si="10"/>
        <v>20610.148032000005</v>
      </c>
      <c r="F51" s="149">
        <f t="shared" si="10"/>
        <v>22258.959874560005</v>
      </c>
      <c r="G51" s="149">
        <f t="shared" si="10"/>
        <v>24039.676664524806</v>
      </c>
      <c r="H51" s="149">
        <f t="shared" si="10"/>
        <v>25962.850797686791</v>
      </c>
      <c r="I51" s="149">
        <f t="shared" si="10"/>
        <v>28039.878861501737</v>
      </c>
      <c r="J51" s="149">
        <f t="shared" si="10"/>
        <v>30283.069170421877</v>
      </c>
      <c r="K51" s="149">
        <f t="shared" si="10"/>
        <v>32705.71470405563</v>
      </c>
      <c r="L51" s="149">
        <f t="shared" si="10"/>
        <v>35322.171880380083</v>
      </c>
      <c r="M51" s="48"/>
    </row>
    <row r="52" spans="1:13" x14ac:dyDescent="0.2">
      <c r="A52" s="30" t="s">
        <v>160</v>
      </c>
      <c r="B52" s="30"/>
      <c r="C52" s="261">
        <v>0.08</v>
      </c>
      <c r="D52" s="262">
        <v>0.08</v>
      </c>
      <c r="E52" s="262">
        <v>0.08</v>
      </c>
      <c r="F52" s="262">
        <v>0.08</v>
      </c>
      <c r="G52" s="262">
        <v>0.08</v>
      </c>
      <c r="H52" s="262">
        <v>0.08</v>
      </c>
      <c r="I52" s="262">
        <v>0.08</v>
      </c>
      <c r="J52" s="262">
        <v>0.08</v>
      </c>
      <c r="K52" s="262">
        <v>0.08</v>
      </c>
      <c r="L52" s="262">
        <v>0.08</v>
      </c>
      <c r="M52" s="49">
        <f>D11</f>
        <v>6.3340694872701109E-2</v>
      </c>
    </row>
    <row r="53" spans="1:13" x14ac:dyDescent="0.2">
      <c r="A53" s="96" t="s">
        <v>168</v>
      </c>
      <c r="B53" s="96"/>
      <c r="C53" s="136">
        <f>C51/C39</f>
        <v>0.12677066569377304</v>
      </c>
      <c r="D53" s="97">
        <f t="shared" ref="D53:L53" si="11">D51/D39</f>
        <v>0.12672861665067831</v>
      </c>
      <c r="E53" s="97">
        <f t="shared" si="11"/>
        <v>0.12667886196835548</v>
      </c>
      <c r="F53" s="97">
        <f t="shared" si="11"/>
        <v>0.12662152825865863</v>
      </c>
      <c r="G53" s="97">
        <f t="shared" si="11"/>
        <v>0.12655674232387554</v>
      </c>
      <c r="H53" s="97">
        <f t="shared" si="11"/>
        <v>0.12648463106159943</v>
      </c>
      <c r="I53" s="97">
        <f t="shared" si="11"/>
        <v>0.1264053213729156</v>
      </c>
      <c r="J53" s="97">
        <f t="shared" si="11"/>
        <v>0.12631894007390093</v>
      </c>
      <c r="K53" s="97">
        <f t="shared" si="11"/>
        <v>0.12622561381042935</v>
      </c>
      <c r="L53" s="97">
        <f t="shared" si="11"/>
        <v>0.12612546897626847</v>
      </c>
      <c r="M53" s="48"/>
    </row>
    <row r="54" spans="1:13" x14ac:dyDescent="0.2">
      <c r="C54" s="12"/>
      <c r="M54" s="48"/>
    </row>
    <row r="55" spans="1:13" x14ac:dyDescent="0.2">
      <c r="A55" s="11" t="s">
        <v>155</v>
      </c>
      <c r="C55" s="12"/>
      <c r="M55" s="48"/>
    </row>
    <row r="56" spans="1:13" x14ac:dyDescent="0.2">
      <c r="A56" s="131" t="str">
        <f>A13</f>
        <v>Merchandise costs, Net D&amp;A</v>
      </c>
      <c r="B56" s="131"/>
      <c r="C56" s="143">
        <f>C57*C39</f>
        <v>118476.91985999999</v>
      </c>
      <c r="D56" s="144">
        <f t="shared" ref="D56:L56" si="12">D57*D39</f>
        <v>127997.52943498401</v>
      </c>
      <c r="E56" s="144">
        <f>E57*E39</f>
        <v>138291.62620340066</v>
      </c>
      <c r="F56" s="144">
        <f t="shared" si="12"/>
        <v>149422.58361253201</v>
      </c>
      <c r="G56" s="144">
        <f t="shared" si="12"/>
        <v>161459.00083737509</v>
      </c>
      <c r="H56" s="144">
        <f t="shared" si="12"/>
        <v>174475.13577587303</v>
      </c>
      <c r="I56" s="144">
        <f t="shared" si="12"/>
        <v>188551.37405143512</v>
      </c>
      <c r="J56" s="144">
        <f t="shared" si="12"/>
        <v>203774.7370251797</v>
      </c>
      <c r="K56" s="144">
        <f t="shared" si="12"/>
        <v>220239.43207119766</v>
      </c>
      <c r="L56" s="144">
        <f t="shared" si="12"/>
        <v>238047.44863999117</v>
      </c>
      <c r="M56" s="48"/>
    </row>
    <row r="57" spans="1:13" x14ac:dyDescent="0.2">
      <c r="A57" s="30" t="s">
        <v>168</v>
      </c>
      <c r="B57" s="30"/>
      <c r="C57" s="261">
        <v>0.85</v>
      </c>
      <c r="D57" s="262">
        <v>0.85</v>
      </c>
      <c r="E57" s="262">
        <v>0.85</v>
      </c>
      <c r="F57" s="262">
        <v>0.85</v>
      </c>
      <c r="G57" s="262">
        <v>0.85</v>
      </c>
      <c r="H57" s="262">
        <v>0.85</v>
      </c>
      <c r="I57" s="262">
        <v>0.85</v>
      </c>
      <c r="J57" s="262">
        <v>0.85</v>
      </c>
      <c r="K57" s="262">
        <v>0.85</v>
      </c>
      <c r="L57" s="262">
        <v>0.85</v>
      </c>
      <c r="M57" s="49">
        <f>D13</f>
        <v>4.3725479093434808E-3</v>
      </c>
    </row>
    <row r="58" spans="1:13" x14ac:dyDescent="0.2">
      <c r="A58" s="13" t="str">
        <f>A14</f>
        <v>Selling, general and administrative</v>
      </c>
      <c r="B58" s="13"/>
      <c r="C58" s="127">
        <f>C59*C39</f>
        <v>12544.615044</v>
      </c>
      <c r="D58" s="149">
        <f t="shared" ref="D58:L58" si="13">D59*D39</f>
        <v>13552.679587233601</v>
      </c>
      <c r="E58" s="149">
        <f t="shared" si="13"/>
        <v>14642.642774477717</v>
      </c>
      <c r="F58" s="149">
        <f t="shared" si="13"/>
        <v>15821.214735444564</v>
      </c>
      <c r="G58" s="149">
        <f t="shared" si="13"/>
        <v>17095.658912192655</v>
      </c>
      <c r="H58" s="149">
        <f t="shared" si="13"/>
        <v>18473.837905680673</v>
      </c>
      <c r="I58" s="149">
        <f t="shared" si="13"/>
        <v>19964.263134857836</v>
      </c>
      <c r="J58" s="149">
        <f t="shared" si="13"/>
        <v>21576.148626195496</v>
      </c>
      <c r="K58" s="149">
        <f t="shared" si="13"/>
        <v>23319.46927812681</v>
      </c>
      <c r="L58" s="149">
        <f t="shared" si="13"/>
        <v>25205.023973646123</v>
      </c>
      <c r="M58" s="48"/>
    </row>
    <row r="59" spans="1:13" x14ac:dyDescent="0.2">
      <c r="A59" s="30" t="s">
        <v>168</v>
      </c>
      <c r="B59" s="30"/>
      <c r="C59" s="261">
        <v>0.09</v>
      </c>
      <c r="D59" s="262">
        <v>0.09</v>
      </c>
      <c r="E59" s="262">
        <v>0.09</v>
      </c>
      <c r="F59" s="262">
        <v>0.09</v>
      </c>
      <c r="G59" s="262">
        <v>0.09</v>
      </c>
      <c r="H59" s="262">
        <v>0.09</v>
      </c>
      <c r="I59" s="262">
        <v>0.09</v>
      </c>
      <c r="J59" s="262">
        <v>0.09</v>
      </c>
      <c r="K59" s="262">
        <v>0.09</v>
      </c>
      <c r="L59" s="262">
        <v>0.09</v>
      </c>
      <c r="M59" s="49">
        <f>D14</f>
        <v>2.4857719296725654E-3</v>
      </c>
    </row>
    <row r="60" spans="1:13" x14ac:dyDescent="0.2">
      <c r="A60" s="13" t="str">
        <f>A15</f>
        <v>Preopening expenses</v>
      </c>
      <c r="B60" s="13"/>
      <c r="C60" s="127">
        <f>C61*C39</f>
        <v>80.738041811049982</v>
      </c>
      <c r="D60" s="149">
        <f t="shared" ref="D60:L60" si="14">D61*D39</f>
        <v>87.226017484624705</v>
      </c>
      <c r="E60" s="149">
        <f t="shared" si="14"/>
        <v>94.241098702785422</v>
      </c>
      <c r="F60" s="149">
        <f t="shared" si="14"/>
        <v>101.8264723414436</v>
      </c>
      <c r="G60" s="149">
        <f t="shared" si="14"/>
        <v>110.0288864344413</v>
      </c>
      <c r="H60" s="149">
        <f t="shared" si="14"/>
        <v>118.89894524525884</v>
      </c>
      <c r="I60" s="149">
        <f t="shared" si="14"/>
        <v>128.49142887648068</v>
      </c>
      <c r="J60" s="149">
        <f t="shared" si="14"/>
        <v>138.8656394630774</v>
      </c>
      <c r="K60" s="149">
        <f t="shared" si="14"/>
        <v>150.08577616651638</v>
      </c>
      <c r="L60" s="149">
        <f t="shared" si="14"/>
        <v>162.22134137197665</v>
      </c>
      <c r="M60" s="48"/>
    </row>
    <row r="61" spans="1:13" x14ac:dyDescent="0.2">
      <c r="A61" s="96" t="s">
        <v>168</v>
      </c>
      <c r="B61" s="96"/>
      <c r="C61" s="263">
        <v>5.7924645256212759E-4</v>
      </c>
      <c r="D61" s="264">
        <v>5.7924645256212759E-4</v>
      </c>
      <c r="E61" s="264">
        <v>5.7924645256212759E-4</v>
      </c>
      <c r="F61" s="264">
        <v>5.7924645256212759E-4</v>
      </c>
      <c r="G61" s="264">
        <v>5.7924645256212759E-4</v>
      </c>
      <c r="H61" s="264">
        <v>5.7924645256212759E-4</v>
      </c>
      <c r="I61" s="264">
        <v>5.7924645256212759E-4</v>
      </c>
      <c r="J61" s="264">
        <v>5.7924645256212759E-4</v>
      </c>
      <c r="K61" s="264">
        <v>5.7924645256212759E-4</v>
      </c>
      <c r="L61" s="264">
        <v>5.7924645256212759E-4</v>
      </c>
      <c r="M61" s="49">
        <f>D15</f>
        <v>7.05487067068761E-5</v>
      </c>
    </row>
    <row r="62" spans="1:13" ht="16" thickBot="1" x14ac:dyDescent="0.25">
      <c r="C62" s="12"/>
      <c r="M62" s="48"/>
    </row>
    <row r="63" spans="1:13" x14ac:dyDescent="0.2">
      <c r="A63" s="123" t="str">
        <f>A26</f>
        <v>DOL</v>
      </c>
      <c r="B63" s="124"/>
      <c r="C63" s="150">
        <f>B26</f>
        <v>1</v>
      </c>
      <c r="D63" s="151">
        <f>C63</f>
        <v>1</v>
      </c>
      <c r="E63" s="151">
        <f t="shared" ref="E63:L63" si="15">D63</f>
        <v>1</v>
      </c>
      <c r="F63" s="151">
        <f t="shared" si="15"/>
        <v>1</v>
      </c>
      <c r="G63" s="151">
        <f t="shared" si="15"/>
        <v>1</v>
      </c>
      <c r="H63" s="151">
        <f t="shared" si="15"/>
        <v>1</v>
      </c>
      <c r="I63" s="151">
        <f t="shared" si="15"/>
        <v>1</v>
      </c>
      <c r="J63" s="151">
        <f t="shared" si="15"/>
        <v>1</v>
      </c>
      <c r="K63" s="151">
        <f t="shared" si="15"/>
        <v>1</v>
      </c>
      <c r="L63" s="182">
        <f t="shared" si="15"/>
        <v>1</v>
      </c>
      <c r="M63" s="156"/>
    </row>
    <row r="64" spans="1:13" ht="16" thickBot="1" x14ac:dyDescent="0.25">
      <c r="A64" s="125" t="s">
        <v>163</v>
      </c>
      <c r="B64" s="129"/>
      <c r="C64" s="155">
        <f>(C63-1)*C40*C39</f>
        <v>0</v>
      </c>
      <c r="D64" s="129">
        <f t="shared" ref="D64:L64" si="16">(D63-1)*D40*D39</f>
        <v>0</v>
      </c>
      <c r="E64" s="129">
        <f t="shared" si="16"/>
        <v>0</v>
      </c>
      <c r="F64" s="129">
        <f t="shared" si="16"/>
        <v>0</v>
      </c>
      <c r="G64" s="129">
        <f t="shared" si="16"/>
        <v>0</v>
      </c>
      <c r="H64" s="129">
        <f t="shared" si="16"/>
        <v>0</v>
      </c>
      <c r="I64" s="129">
        <f t="shared" si="16"/>
        <v>0</v>
      </c>
      <c r="J64" s="129">
        <f t="shared" si="16"/>
        <v>0</v>
      </c>
      <c r="K64" s="129">
        <f t="shared" si="16"/>
        <v>0</v>
      </c>
      <c r="L64" s="130">
        <f t="shared" si="16"/>
        <v>0</v>
      </c>
      <c r="M64" s="156"/>
    </row>
    <row r="65" spans="1:13" x14ac:dyDescent="0.2">
      <c r="C65" s="12"/>
      <c r="M65" s="48"/>
    </row>
    <row r="66" spans="1:13" x14ac:dyDescent="0.2">
      <c r="A66" s="133" t="s">
        <v>164</v>
      </c>
      <c r="B66" s="131"/>
      <c r="C66" s="143">
        <f>C39-C56-C58-C60</f>
        <v>8282.3386541889595</v>
      </c>
      <c r="D66" s="144">
        <f t="shared" ref="D66:L66" si="17">D39-D56-D58-D60</f>
        <v>8947.8937073377729</v>
      </c>
      <c r="E66" s="144">
        <f t="shared" si="17"/>
        <v>9667.5207509490265</v>
      </c>
      <c r="F66" s="144">
        <f t="shared" si="17"/>
        <v>10445.650017954935</v>
      </c>
      <c r="G66" s="144">
        <f t="shared" si="17"/>
        <v>11287.077055027332</v>
      </c>
      <c r="H66" s="144">
        <f t="shared" si="17"/>
        <v>12196.99299187521</v>
      </c>
      <c r="I66" s="144">
        <f t="shared" si="17"/>
        <v>13181.017327695412</v>
      </c>
      <c r="J66" s="144">
        <f t="shared" si="17"/>
        <v>14245.233444667268</v>
      </c>
      <c r="K66" s="144">
        <f t="shared" si="17"/>
        <v>15396.227075918034</v>
      </c>
      <c r="L66" s="144">
        <f t="shared" si="17"/>
        <v>16641.1279743921</v>
      </c>
      <c r="M66" s="48"/>
    </row>
    <row r="67" spans="1:13" x14ac:dyDescent="0.2">
      <c r="A67" s="96" t="s">
        <v>168</v>
      </c>
      <c r="B67" s="96"/>
      <c r="C67" s="136">
        <f>C66/C39</f>
        <v>5.9420753547437942E-2</v>
      </c>
      <c r="D67" s="97">
        <f t="shared" ref="D67:L67" si="18">D66/D39</f>
        <v>5.9420753547437852E-2</v>
      </c>
      <c r="E67" s="97">
        <f t="shared" si="18"/>
        <v>5.9420753547437873E-2</v>
      </c>
      <c r="F67" s="97">
        <f t="shared" si="18"/>
        <v>5.942075354743788E-2</v>
      </c>
      <c r="G67" s="97">
        <f t="shared" si="18"/>
        <v>5.9420753547437886E-2</v>
      </c>
      <c r="H67" s="97">
        <f t="shared" si="18"/>
        <v>5.9420753547437963E-2</v>
      </c>
      <c r="I67" s="97">
        <f t="shared" si="18"/>
        <v>5.942075354743788E-2</v>
      </c>
      <c r="J67" s="97">
        <f t="shared" si="18"/>
        <v>5.9420753547437928E-2</v>
      </c>
      <c r="K67" s="97">
        <f t="shared" si="18"/>
        <v>5.9420753547437907E-2</v>
      </c>
      <c r="L67" s="97">
        <f t="shared" si="18"/>
        <v>5.9420753547437852E-2</v>
      </c>
      <c r="M67" s="48"/>
    </row>
    <row r="68" spans="1:13" x14ac:dyDescent="0.2">
      <c r="C68" s="12"/>
      <c r="M68" s="48"/>
    </row>
    <row r="69" spans="1:13" x14ac:dyDescent="0.2">
      <c r="A69" s="11" t="s">
        <v>120</v>
      </c>
      <c r="C69" s="12"/>
      <c r="M69" s="48"/>
    </row>
    <row r="70" spans="1:13" x14ac:dyDescent="0.2">
      <c r="A70" t="str">
        <f>A17</f>
        <v>Interest expense as % of Total Debt</v>
      </c>
      <c r="C70" s="127">
        <f>C71*B72</f>
        <v>111.58131465106031</v>
      </c>
      <c r="D70" s="126">
        <f t="shared" ref="D70:L70" si="19">D71*C72</f>
        <v>111.58131465106031</v>
      </c>
      <c r="E70" s="126">
        <f t="shared" si="19"/>
        <v>111.58131465106031</v>
      </c>
      <c r="F70" s="126">
        <f t="shared" si="19"/>
        <v>111.58131465106031</v>
      </c>
      <c r="G70" s="126">
        <f t="shared" si="19"/>
        <v>111.58131465106031</v>
      </c>
      <c r="H70" s="126">
        <f t="shared" si="19"/>
        <v>111.58131465106031</v>
      </c>
      <c r="I70" s="126">
        <f t="shared" si="19"/>
        <v>111.58131465106031</v>
      </c>
      <c r="J70" s="126">
        <f t="shared" si="19"/>
        <v>111.58131465106031</v>
      </c>
      <c r="K70" s="126">
        <f t="shared" si="19"/>
        <v>111.58131465106031</v>
      </c>
      <c r="L70" s="126">
        <f t="shared" si="19"/>
        <v>0</v>
      </c>
      <c r="M70" s="48"/>
    </row>
    <row r="71" spans="1:13" x14ac:dyDescent="0.2">
      <c r="A71" s="134" t="s">
        <v>165</v>
      </c>
      <c r="B71" s="137">
        <v>2.1620095844034161E-2</v>
      </c>
      <c r="C71" s="261">
        <v>2.1620095844034161E-2</v>
      </c>
      <c r="D71" s="265">
        <v>2.1620095844034161E-2</v>
      </c>
      <c r="E71" s="265">
        <v>2.1620095844034161E-2</v>
      </c>
      <c r="F71" s="265">
        <v>2.1620095844034161E-2</v>
      </c>
      <c r="G71" s="265">
        <v>2.1620095844034161E-2</v>
      </c>
      <c r="H71" s="265">
        <v>2.1620095844034161E-2</v>
      </c>
      <c r="I71" s="265">
        <v>2.1620095844034161E-2</v>
      </c>
      <c r="J71" s="265">
        <v>2.1620095844034161E-2</v>
      </c>
      <c r="K71" s="265">
        <v>2.1620095844034161E-2</v>
      </c>
      <c r="L71" s="265">
        <v>0</v>
      </c>
      <c r="M71" s="49">
        <f>D17</f>
        <v>2.7234702076473546E-3</v>
      </c>
    </row>
    <row r="72" spans="1:13" x14ac:dyDescent="0.2">
      <c r="A72" s="134" t="s">
        <v>166</v>
      </c>
      <c r="B72" s="140">
        <f>[1]VD!E125+[1]VD!E134</f>
        <v>5161</v>
      </c>
      <c r="C72" s="135">
        <f>B72-C70+B71*B72</f>
        <v>5161</v>
      </c>
      <c r="D72" s="134">
        <f t="shared" ref="D72:K72" si="20">C72-D70+C71*C72</f>
        <v>5161</v>
      </c>
      <c r="E72" s="134">
        <f t="shared" si="20"/>
        <v>5161</v>
      </c>
      <c r="F72" s="134">
        <f t="shared" si="20"/>
        <v>5161</v>
      </c>
      <c r="G72" s="134">
        <f t="shared" si="20"/>
        <v>5161</v>
      </c>
      <c r="H72" s="134">
        <f t="shared" si="20"/>
        <v>5161</v>
      </c>
      <c r="I72" s="134">
        <f t="shared" si="20"/>
        <v>5161</v>
      </c>
      <c r="J72" s="134">
        <f t="shared" si="20"/>
        <v>5161</v>
      </c>
      <c r="K72" s="134">
        <f t="shared" si="20"/>
        <v>5161</v>
      </c>
      <c r="L72" s="134">
        <v>0</v>
      </c>
      <c r="M72" s="48"/>
    </row>
    <row r="73" spans="1:13" x14ac:dyDescent="0.2">
      <c r="A73" t="str">
        <f>A18</f>
        <v>Interest income and other, net as % of Rev</v>
      </c>
      <c r="C73" s="127">
        <f>C74*C39</f>
        <v>-105.11964196509257</v>
      </c>
      <c r="D73" s="126">
        <f t="shared" ref="D73:L73" si="21">D74*D39</f>
        <v>-113.5668827525334</v>
      </c>
      <c r="E73" s="126">
        <f t="shared" si="21"/>
        <v>-122.7004065471144</v>
      </c>
      <c r="F73" s="126">
        <f t="shared" si="21"/>
        <v>-132.57644197206659</v>
      </c>
      <c r="G73" s="126">
        <f t="shared" si="21"/>
        <v>-143.25585422141521</v>
      </c>
      <c r="H73" s="126">
        <f t="shared" si="21"/>
        <v>-154.80452923863419</v>
      </c>
      <c r="I73" s="126">
        <f t="shared" si="21"/>
        <v>-167.29378984307016</v>
      </c>
      <c r="J73" s="126">
        <f t="shared" si="21"/>
        <v>-180.80084646807077</v>
      </c>
      <c r="K73" s="126">
        <f t="shared" si="21"/>
        <v>-195.40928539733244</v>
      </c>
      <c r="L73" s="126">
        <f t="shared" si="21"/>
        <v>0</v>
      </c>
      <c r="M73" s="48"/>
    </row>
    <row r="74" spans="1:13" ht="16" thickBot="1" x14ac:dyDescent="0.25">
      <c r="A74" s="134" t="s">
        <v>162</v>
      </c>
      <c r="B74" s="134"/>
      <c r="C74" s="261">
        <v>-7.5416963722480662E-4</v>
      </c>
      <c r="D74" s="265">
        <v>-7.5416963722480662E-4</v>
      </c>
      <c r="E74" s="265">
        <v>-7.5416963722480662E-4</v>
      </c>
      <c r="F74" s="265">
        <v>-7.5416963722480662E-4</v>
      </c>
      <c r="G74" s="265">
        <v>-7.5416963722480662E-4</v>
      </c>
      <c r="H74" s="265">
        <v>-7.5416963722480662E-4</v>
      </c>
      <c r="I74" s="265">
        <v>-7.5416963722480662E-4</v>
      </c>
      <c r="J74" s="265">
        <v>-7.5416963722480662E-4</v>
      </c>
      <c r="K74" s="265">
        <v>-7.5416963722480662E-4</v>
      </c>
      <c r="L74" s="265">
        <v>0</v>
      </c>
      <c r="M74" s="49">
        <f>D18</f>
        <v>1.1238653145296337E-4</v>
      </c>
    </row>
    <row r="75" spans="1:13" x14ac:dyDescent="0.2">
      <c r="A75" s="123" t="str">
        <f>A19</f>
        <v>Depreciation &amp; Amortization as % of Rev</v>
      </c>
      <c r="B75" s="124"/>
      <c r="C75" s="150">
        <f>C76*C39</f>
        <v>1366.5159434052698</v>
      </c>
      <c r="D75" s="151">
        <f t="shared" ref="D75:L75" si="22">D76*D39</f>
        <v>1476.3269073510412</v>
      </c>
      <c r="E75" s="151">
        <f t="shared" si="22"/>
        <v>1595.0592931492251</v>
      </c>
      <c r="F75" s="151">
        <f t="shared" si="22"/>
        <v>1723.4440518255719</v>
      </c>
      <c r="G75" s="151">
        <f t="shared" si="22"/>
        <v>1862.2724080882251</v>
      </c>
      <c r="H75" s="151">
        <f t="shared" si="22"/>
        <v>2012.4008545062263</v>
      </c>
      <c r="I75" s="151">
        <f t="shared" si="22"/>
        <v>2174.7565609970507</v>
      </c>
      <c r="J75" s="151">
        <f t="shared" si="22"/>
        <v>2350.3432342533233</v>
      </c>
      <c r="K75" s="151">
        <f t="shared" si="22"/>
        <v>2540.2474646323367</v>
      </c>
      <c r="L75" s="151">
        <f t="shared" si="22"/>
        <v>2745.6456011675982</v>
      </c>
      <c r="M75" s="48"/>
    </row>
    <row r="76" spans="1:13" x14ac:dyDescent="0.2">
      <c r="A76" s="31" t="s">
        <v>168</v>
      </c>
      <c r="B76" s="30"/>
      <c r="C76" s="261">
        <v>9.8039225974732337E-3</v>
      </c>
      <c r="D76" s="262">
        <v>9.8039225974732337E-3</v>
      </c>
      <c r="E76" s="262">
        <v>9.8039225974732337E-3</v>
      </c>
      <c r="F76" s="262">
        <v>9.8039225974732337E-3</v>
      </c>
      <c r="G76" s="262">
        <v>9.8039225974732337E-3</v>
      </c>
      <c r="H76" s="262">
        <v>9.8039225974732337E-3</v>
      </c>
      <c r="I76" s="262">
        <v>9.8039225974732337E-3</v>
      </c>
      <c r="J76" s="262">
        <v>9.8039225974732337E-3</v>
      </c>
      <c r="K76" s="262">
        <v>9.8039225974732337E-3</v>
      </c>
      <c r="L76" s="262">
        <v>9.8039225974732337E-3</v>
      </c>
      <c r="M76" s="49">
        <f>D19</f>
        <v>7.1496877963147371E-4</v>
      </c>
    </row>
    <row r="77" spans="1:13" x14ac:dyDescent="0.2">
      <c r="A77" s="128" t="s">
        <v>167</v>
      </c>
      <c r="B77" s="13"/>
      <c r="C77" s="127">
        <f>C66-C70-C73-C75</f>
        <v>6909.3610380977225</v>
      </c>
      <c r="D77" s="149">
        <f t="shared" ref="D77:L77" si="23">D66-D70-D73-D75</f>
        <v>7473.5523680882043</v>
      </c>
      <c r="E77" s="149">
        <f t="shared" si="23"/>
        <v>8083.5805496958546</v>
      </c>
      <c r="F77" s="149">
        <f t="shared" si="23"/>
        <v>8743.2010934503687</v>
      </c>
      <c r="G77" s="149">
        <f t="shared" si="23"/>
        <v>9456.4791865094612</v>
      </c>
      <c r="H77" s="149">
        <f t="shared" si="23"/>
        <v>10227.815351956557</v>
      </c>
      <c r="I77" s="149">
        <f t="shared" si="23"/>
        <v>11061.97324189037</v>
      </c>
      <c r="J77" s="149">
        <f t="shared" si="23"/>
        <v>11964.109742230956</v>
      </c>
      <c r="K77" s="149">
        <f t="shared" si="23"/>
        <v>12939.807582031968</v>
      </c>
      <c r="L77" s="149">
        <f t="shared" si="23"/>
        <v>13895.482373224502</v>
      </c>
      <c r="M77" s="48"/>
    </row>
    <row r="78" spans="1:13" ht="16" thickBot="1" x14ac:dyDescent="0.25">
      <c r="A78" s="28" t="s">
        <v>168</v>
      </c>
      <c r="B78" s="138"/>
      <c r="C78" s="35">
        <f>C77/C39</f>
        <v>4.9570472369833127E-2</v>
      </c>
      <c r="D78" s="41">
        <f t="shared" ref="D78:L78" si="24">D77/D39</f>
        <v>4.9630016617638849E-2</v>
      </c>
      <c r="E78" s="41">
        <f t="shared" si="24"/>
        <v>4.9685173686044297E-2</v>
      </c>
      <c r="F78" s="41">
        <f t="shared" si="24"/>
        <v>4.973626308526443E-2</v>
      </c>
      <c r="G78" s="41">
        <f t="shared" si="24"/>
        <v>4.9783581385029703E-2</v>
      </c>
      <c r="H78" s="41">
        <f t="shared" si="24"/>
        <v>4.9827403833235799E-2</v>
      </c>
      <c r="I78" s="41">
        <f t="shared" si="24"/>
        <v>4.9867985862791155E-2</v>
      </c>
      <c r="J78" s="41">
        <f t="shared" si="24"/>
        <v>4.9905564494188037E-2</v>
      </c>
      <c r="K78" s="41">
        <f t="shared" si="24"/>
        <v>4.9940359640827332E-2</v>
      </c>
      <c r="L78" s="41">
        <f t="shared" si="24"/>
        <v>4.9616830949964622E-2</v>
      </c>
      <c r="M78" s="49"/>
    </row>
    <row r="79" spans="1:13" x14ac:dyDescent="0.2">
      <c r="A79" t="str">
        <f>A20</f>
        <v>Provision for income taxes (as % of EBT)</v>
      </c>
      <c r="C79" s="127">
        <f>C80*C77</f>
        <v>2313.8953377225812</v>
      </c>
      <c r="D79" s="126">
        <f t="shared" ref="D79:L79" si="25">D80*D77</f>
        <v>2502.8389579575287</v>
      </c>
      <c r="E79" s="126">
        <f t="shared" si="25"/>
        <v>2707.13301026109</v>
      </c>
      <c r="F79" s="126">
        <f t="shared" si="25"/>
        <v>2928.035188109915</v>
      </c>
      <c r="G79" s="126">
        <f t="shared" si="25"/>
        <v>3166.9068934569968</v>
      </c>
      <c r="H79" s="126">
        <f t="shared" si="25"/>
        <v>3425.221829845997</v>
      </c>
      <c r="I79" s="126">
        <f t="shared" si="25"/>
        <v>3704.5753101171281</v>
      </c>
      <c r="J79" s="126">
        <f t="shared" si="25"/>
        <v>4006.6943382902691</v>
      </c>
      <c r="K79" s="126">
        <f t="shared" si="25"/>
        <v>4333.4485301891973</v>
      </c>
      <c r="L79" s="126">
        <f t="shared" si="25"/>
        <v>4653.4971470622022</v>
      </c>
      <c r="M79" s="48"/>
    </row>
    <row r="80" spans="1:13" x14ac:dyDescent="0.2">
      <c r="A80" s="134" t="s">
        <v>172</v>
      </c>
      <c r="B80" s="134"/>
      <c r="C80" s="261">
        <v>0.3348928106324055</v>
      </c>
      <c r="D80" s="265">
        <v>0.3348928106324055</v>
      </c>
      <c r="E80" s="265">
        <v>0.3348928106324055</v>
      </c>
      <c r="F80" s="265">
        <v>0.3348928106324055</v>
      </c>
      <c r="G80" s="265">
        <v>0.3348928106324055</v>
      </c>
      <c r="H80" s="265">
        <v>0.3348928106324055</v>
      </c>
      <c r="I80" s="265">
        <v>0.3348928106324055</v>
      </c>
      <c r="J80" s="265">
        <v>0.3348928106324055</v>
      </c>
      <c r="K80" s="265">
        <v>0.3348928106324055</v>
      </c>
      <c r="L80" s="265">
        <v>0.3348928106324055</v>
      </c>
      <c r="M80" s="49">
        <f>D20</f>
        <v>1.0408472966511508E-2</v>
      </c>
    </row>
    <row r="81" spans="1:13" x14ac:dyDescent="0.2">
      <c r="A81" t="str">
        <f>A21</f>
        <v>Net income attributable to noncontrolling interests as % of Rev</v>
      </c>
      <c r="C81" s="127">
        <f>C82*C39</f>
        <v>34.601048912814186</v>
      </c>
      <c r="D81" s="126">
        <f t="shared" ref="D81:L81" si="26">D82*D39</f>
        <v>37.381532048036611</v>
      </c>
      <c r="E81" s="126">
        <f t="shared" si="26"/>
        <v>40.387911233266273</v>
      </c>
      <c r="F81" s="126">
        <f t="shared" si="26"/>
        <v>43.638694611285509</v>
      </c>
      <c r="G81" s="126">
        <f t="shared" si="26"/>
        <v>47.153916492677816</v>
      </c>
      <c r="H81" s="126">
        <f t="shared" si="26"/>
        <v>50.955263811589766</v>
      </c>
      <c r="I81" s="126">
        <f t="shared" si="26"/>
        <v>55.066213097380484</v>
      </c>
      <c r="J81" s="126">
        <f t="shared" si="26"/>
        <v>59.512178839016038</v>
      </c>
      <c r="K81" s="126">
        <f t="shared" si="26"/>
        <v>64.320674192330642</v>
      </c>
      <c r="L81" s="126">
        <f t="shared" si="26"/>
        <v>69.521485059672088</v>
      </c>
      <c r="M81" s="48"/>
    </row>
    <row r="82" spans="1:13" x14ac:dyDescent="0.2">
      <c r="A82" s="134" t="s">
        <v>168</v>
      </c>
      <c r="B82" s="134"/>
      <c r="C82" s="261">
        <v>2.4824152763800638E-4</v>
      </c>
      <c r="D82" s="265">
        <v>2.4824152763800638E-4</v>
      </c>
      <c r="E82" s="265">
        <v>2.4824152763800638E-4</v>
      </c>
      <c r="F82" s="265">
        <v>2.4824152763800638E-4</v>
      </c>
      <c r="G82" s="265">
        <v>2.4824152763800638E-4</v>
      </c>
      <c r="H82" s="265">
        <v>2.4824152763800638E-4</v>
      </c>
      <c r="I82" s="265">
        <v>2.4824152763800638E-4</v>
      </c>
      <c r="J82" s="265">
        <v>2.4824152763800638E-4</v>
      </c>
      <c r="K82" s="265">
        <v>2.4824152763800638E-4</v>
      </c>
      <c r="L82" s="265">
        <v>2.4824152763800638E-4</v>
      </c>
      <c r="M82" s="49">
        <f>D21</f>
        <v>3.3215998262595775E-5</v>
      </c>
    </row>
    <row r="83" spans="1:13" x14ac:dyDescent="0.2">
      <c r="C83" s="12"/>
      <c r="M83" s="48"/>
    </row>
    <row r="84" spans="1:13" x14ac:dyDescent="0.2">
      <c r="A84" s="131" t="s">
        <v>169</v>
      </c>
      <c r="B84" s="131"/>
      <c r="C84" s="143">
        <f>C66-C70-C73-C79-C81</f>
        <v>5927.3805948675972</v>
      </c>
      <c r="D84" s="144">
        <f t="shared" ref="D84:L84" si="27">D66-D70-D73-D79-D81</f>
        <v>6409.6587854336804</v>
      </c>
      <c r="E84" s="144">
        <f t="shared" si="27"/>
        <v>6931.1189213507232</v>
      </c>
      <c r="F84" s="144">
        <f t="shared" si="27"/>
        <v>7494.9712625547409</v>
      </c>
      <c r="G84" s="144">
        <f t="shared" si="27"/>
        <v>8104.6907846480117</v>
      </c>
      <c r="H84" s="144">
        <f t="shared" si="27"/>
        <v>8764.0391128051961</v>
      </c>
      <c r="I84" s="144">
        <f t="shared" si="27"/>
        <v>9477.0882796729129</v>
      </c>
      <c r="J84" s="144">
        <f t="shared" si="27"/>
        <v>10248.246459354994</v>
      </c>
      <c r="K84" s="144">
        <f t="shared" si="27"/>
        <v>11082.285842282778</v>
      </c>
      <c r="L84" s="144">
        <f t="shared" si="27"/>
        <v>11918.109342270227</v>
      </c>
      <c r="M84" s="48"/>
    </row>
    <row r="85" spans="1:13" x14ac:dyDescent="0.2">
      <c r="A85" s="96" t="s">
        <v>168</v>
      </c>
      <c r="B85" s="96"/>
      <c r="C85" s="141">
        <f>C84/C39</f>
        <v>4.2525358623358947E-2</v>
      </c>
      <c r="D85" s="142">
        <f t="shared" ref="D85:L85" si="28">D84/D39</f>
        <v>4.2564961930660013E-2</v>
      </c>
      <c r="E85" s="142">
        <f t="shared" si="28"/>
        <v>4.2601647293400914E-2</v>
      </c>
      <c r="F85" s="142">
        <f t="shared" si="28"/>
        <v>4.26356272201227E-2</v>
      </c>
      <c r="G85" s="142">
        <f t="shared" si="28"/>
        <v>4.2667098961485232E-2</v>
      </c>
      <c r="H85" s="142">
        <f t="shared" si="28"/>
        <v>4.269624558684279E-2</v>
      </c>
      <c r="I85" s="142">
        <f t="shared" si="28"/>
        <v>4.2723236986459197E-2</v>
      </c>
      <c r="J85" s="142">
        <f t="shared" si="28"/>
        <v>4.2748230804367848E-2</v>
      </c>
      <c r="K85" s="142">
        <f t="shared" si="28"/>
        <v>4.277137330655275E-2</v>
      </c>
      <c r="L85" s="142">
        <f t="shared" si="28"/>
        <v>4.2556192048293272E-2</v>
      </c>
      <c r="M85" s="48"/>
    </row>
    <row r="86" spans="1:13" x14ac:dyDescent="0.2">
      <c r="C86" s="12"/>
      <c r="M86" s="48"/>
    </row>
    <row r="87" spans="1:13" x14ac:dyDescent="0.2">
      <c r="A87" s="11" t="s">
        <v>124</v>
      </c>
      <c r="C87" s="12"/>
      <c r="M87" s="48"/>
    </row>
    <row r="88" spans="1:13" x14ac:dyDescent="0.2">
      <c r="A88" s="131" t="str">
        <f>A23</f>
        <v>Change in Working Capital</v>
      </c>
      <c r="B88" s="131"/>
      <c r="C88" s="143">
        <f>C89*C39</f>
        <v>-683.07110484541352</v>
      </c>
      <c r="D88" s="144">
        <f t="shared" ref="D88:L88" si="29">D89*D39</f>
        <v>-737.96157050632712</v>
      </c>
      <c r="E88" s="144">
        <f t="shared" si="29"/>
        <v>-797.31152711641596</v>
      </c>
      <c r="F88" s="144">
        <f t="shared" si="29"/>
        <v>-861.486350233248</v>
      </c>
      <c r="G88" s="144">
        <f t="shared" si="29"/>
        <v>-930.88154401334668</v>
      </c>
      <c r="H88" s="144">
        <f t="shared" si="29"/>
        <v>-1005.9252376185054</v>
      </c>
      <c r="I88" s="144">
        <f t="shared" si="29"/>
        <v>-1087.080889219824</v>
      </c>
      <c r="J88" s="144">
        <f t="shared" si="29"/>
        <v>-1174.8502149098078</v>
      </c>
      <c r="K88" s="144">
        <f t="shared" si="29"/>
        <v>-1269.7763612792101</v>
      </c>
      <c r="L88" s="144">
        <f t="shared" si="29"/>
        <v>-1372.4473419826681</v>
      </c>
      <c r="M88" s="48"/>
    </row>
    <row r="89" spans="1:13" x14ac:dyDescent="0.2">
      <c r="A89" s="30" t="s">
        <v>168</v>
      </c>
      <c r="B89" s="30"/>
      <c r="C89" s="261">
        <v>-4.9006206424397963E-3</v>
      </c>
      <c r="D89" s="262">
        <v>-4.9006206424397963E-3</v>
      </c>
      <c r="E89" s="262">
        <v>-4.9006206424397963E-3</v>
      </c>
      <c r="F89" s="262">
        <v>-4.9006206424397963E-3</v>
      </c>
      <c r="G89" s="262">
        <v>-4.9006206424397963E-3</v>
      </c>
      <c r="H89" s="262">
        <v>-4.9006206424397963E-3</v>
      </c>
      <c r="I89" s="262">
        <v>-4.9006206424397963E-3</v>
      </c>
      <c r="J89" s="262">
        <v>-4.9006206424397963E-3</v>
      </c>
      <c r="K89" s="262">
        <v>-4.9006206424397963E-3</v>
      </c>
      <c r="L89" s="266">
        <v>-4.9006206424397963E-3</v>
      </c>
      <c r="M89" s="49">
        <f>D23</f>
        <v>1.2082579974031019E-2</v>
      </c>
    </row>
    <row r="90" spans="1:13" x14ac:dyDescent="0.2">
      <c r="A90" s="13" t="str">
        <f>A24</f>
        <v>Capital Expenditures (CAPEX)</v>
      </c>
      <c r="B90" s="13"/>
      <c r="C90" s="127">
        <f>C91*C39</f>
        <v>3423.0578474445456</v>
      </c>
      <c r="D90" s="149">
        <f t="shared" ref="D90:L90" si="30">D91*D39</f>
        <v>3698.1291217198614</v>
      </c>
      <c r="E90" s="149">
        <f t="shared" si="30"/>
        <v>3995.5481360487352</v>
      </c>
      <c r="F90" s="149">
        <f t="shared" si="30"/>
        <v>4317.1458882009838</v>
      </c>
      <c r="G90" s="149">
        <f t="shared" si="30"/>
        <v>4664.9043586718735</v>
      </c>
      <c r="H90" s="149">
        <f t="shared" si="30"/>
        <v>5040.9690208632237</v>
      </c>
      <c r="I90" s="149">
        <f t="shared" si="30"/>
        <v>5447.6623915939881</v>
      </c>
      <c r="J90" s="149">
        <f t="shared" si="30"/>
        <v>5887.4987086872261</v>
      </c>
      <c r="K90" s="149">
        <f t="shared" si="30"/>
        <v>6363.1998296283455</v>
      </c>
      <c r="L90" s="149">
        <f t="shared" si="30"/>
        <v>6877.7124531440713</v>
      </c>
      <c r="M90" s="48"/>
    </row>
    <row r="91" spans="1:13" ht="16" thickBot="1" x14ac:dyDescent="0.25">
      <c r="A91" s="96" t="s">
        <v>168</v>
      </c>
      <c r="B91" s="96"/>
      <c r="C91" s="263">
        <v>2.4558362706981533E-2</v>
      </c>
      <c r="D91" s="264">
        <v>2.4558362706981533E-2</v>
      </c>
      <c r="E91" s="264">
        <v>2.4558362706981533E-2</v>
      </c>
      <c r="F91" s="264">
        <v>2.4558362706981533E-2</v>
      </c>
      <c r="G91" s="264">
        <v>2.4558362706981533E-2</v>
      </c>
      <c r="H91" s="264">
        <v>2.4558362706981533E-2</v>
      </c>
      <c r="I91" s="264">
        <v>2.4558362706981533E-2</v>
      </c>
      <c r="J91" s="264">
        <v>2.4558362706981533E-2</v>
      </c>
      <c r="K91" s="264">
        <v>2.4558362706981533E-2</v>
      </c>
      <c r="L91" s="267">
        <v>2.4558362706981533E-2</v>
      </c>
      <c r="M91" s="50">
        <f>D24</f>
        <v>6.7533592350091627E-3</v>
      </c>
    </row>
    <row r="92" spans="1:13" x14ac:dyDescent="0.2">
      <c r="C92" s="12"/>
    </row>
    <row r="93" spans="1:13" x14ac:dyDescent="0.2">
      <c r="A93" s="131" t="s">
        <v>170</v>
      </c>
      <c r="B93" s="131"/>
      <c r="C93" s="143">
        <f>C84-C88-C90</f>
        <v>3187.3938522684648</v>
      </c>
      <c r="D93" s="144">
        <f t="shared" ref="D93:L93" si="31">D84-D88-D90</f>
        <v>3449.491234220146</v>
      </c>
      <c r="E93" s="144">
        <f t="shared" si="31"/>
        <v>3732.8823124184041</v>
      </c>
      <c r="F93" s="144">
        <f t="shared" si="31"/>
        <v>4039.3117245870044</v>
      </c>
      <c r="G93" s="144">
        <f t="shared" si="31"/>
        <v>4370.6679699894839</v>
      </c>
      <c r="H93" s="144">
        <f t="shared" si="31"/>
        <v>4728.9953295604773</v>
      </c>
      <c r="I93" s="144">
        <f t="shared" si="31"/>
        <v>5116.5067772987486</v>
      </c>
      <c r="J93" s="144">
        <f t="shared" si="31"/>
        <v>5535.5979655775755</v>
      </c>
      <c r="K93" s="144">
        <f t="shared" si="31"/>
        <v>5988.8623739336417</v>
      </c>
      <c r="L93" s="145">
        <f t="shared" si="31"/>
        <v>6412.8442311088238</v>
      </c>
    </row>
    <row r="94" spans="1:13" x14ac:dyDescent="0.2">
      <c r="A94" s="132" t="s">
        <v>171</v>
      </c>
      <c r="B94" s="132"/>
      <c r="C94" s="146">
        <f>C93/(1+$I$6)^C36</f>
        <v>2897.630774789513</v>
      </c>
      <c r="D94" s="147">
        <f t="shared" ref="D94:K94" si="32">D93/(1+$I$6)^D36</f>
        <v>2850.8192018348309</v>
      </c>
      <c r="E94" s="147">
        <f t="shared" si="32"/>
        <v>2804.5697313436535</v>
      </c>
      <c r="F94" s="147">
        <f t="shared" si="32"/>
        <v>2758.9042583068117</v>
      </c>
      <c r="G94" s="147">
        <f t="shared" si="32"/>
        <v>2713.8409385781415</v>
      </c>
      <c r="H94" s="147">
        <f t="shared" si="32"/>
        <v>2669.3945788829596</v>
      </c>
      <c r="I94" s="147">
        <f t="shared" si="32"/>
        <v>2625.5769897532819</v>
      </c>
      <c r="J94" s="147">
        <f t="shared" si="32"/>
        <v>2582.3973048159232</v>
      </c>
      <c r="K94" s="147">
        <f t="shared" si="32"/>
        <v>2539.8622695458421</v>
      </c>
      <c r="L94" s="148">
        <f>(L93*(1+I6)/(I6-I8)-K72)/(1+I6)^L36</f>
        <v>30006.351852748063</v>
      </c>
    </row>
    <row r="97" spans="1:12" ht="16" thickBot="1" x14ac:dyDescent="0.25">
      <c r="A97" s="282" t="s">
        <v>188</v>
      </c>
      <c r="B97" s="282"/>
      <c r="C97" s="282"/>
    </row>
    <row r="98" spans="1:12" x14ac:dyDescent="0.2">
      <c r="A98" s="90" t="s">
        <v>189</v>
      </c>
      <c r="B98" s="160"/>
      <c r="C98" s="161">
        <f>SUM(C94:L94)</f>
        <v>54449.347900599023</v>
      </c>
    </row>
    <row r="99" spans="1:12" x14ac:dyDescent="0.2">
      <c r="A99" s="183" t="s">
        <v>190</v>
      </c>
      <c r="B99" s="184"/>
      <c r="C99" s="185">
        <f>[1]VD!E103</f>
        <v>3379</v>
      </c>
    </row>
    <row r="100" spans="1:12" x14ac:dyDescent="0.2">
      <c r="A100" s="92" t="s">
        <v>191</v>
      </c>
      <c r="B100" s="37"/>
      <c r="C100" s="156">
        <f>SUM(C98:C99)</f>
        <v>57828.347900599023</v>
      </c>
    </row>
    <row r="101" spans="1:12" x14ac:dyDescent="0.2">
      <c r="A101" s="183" t="s">
        <v>192</v>
      </c>
      <c r="B101" s="184"/>
      <c r="C101" s="186">
        <f>[1]VD!E91/1000</f>
        <v>441.26299999999998</v>
      </c>
    </row>
    <row r="102" spans="1:12" ht="16" thickBot="1" x14ac:dyDescent="0.25">
      <c r="A102" s="157" t="s">
        <v>193</v>
      </c>
      <c r="B102" s="172"/>
      <c r="C102" s="268">
        <f>C100/C101</f>
        <v>131.05188493165986</v>
      </c>
    </row>
    <row r="105" spans="1:12" ht="16" thickBot="1" x14ac:dyDescent="0.25">
      <c r="A105" s="280" t="s">
        <v>194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</row>
    <row r="106" spans="1:12" x14ac:dyDescent="0.2">
      <c r="A106" s="187" t="s">
        <v>143</v>
      </c>
      <c r="B106" s="188">
        <f>[1]VD!E53</f>
        <v>26167</v>
      </c>
      <c r="C106" s="189">
        <f>B106+C90-C75</f>
        <v>28223.541904039277</v>
      </c>
      <c r="D106" s="189">
        <f t="shared" ref="D106:L106" si="33">C106+D90-D75</f>
        <v>30445.344118408098</v>
      </c>
      <c r="E106" s="189">
        <f t="shared" si="33"/>
        <v>32845.832961307606</v>
      </c>
      <c r="F106" s="189">
        <f t="shared" si="33"/>
        <v>35439.534797683016</v>
      </c>
      <c r="G106" s="189">
        <f t="shared" si="33"/>
        <v>38242.166748266667</v>
      </c>
      <c r="H106" s="189">
        <f t="shared" si="33"/>
        <v>41270.734914623667</v>
      </c>
      <c r="I106" s="189">
        <f t="shared" si="33"/>
        <v>44543.640745220604</v>
      </c>
      <c r="J106" s="189">
        <f t="shared" si="33"/>
        <v>48080.796219654512</v>
      </c>
      <c r="K106" s="189">
        <f t="shared" si="33"/>
        <v>51903.748584650515</v>
      </c>
      <c r="L106" s="190">
        <f t="shared" si="33"/>
        <v>56035.815436626988</v>
      </c>
    </row>
    <row r="107" spans="1:12" x14ac:dyDescent="0.2">
      <c r="A107" s="191" t="s">
        <v>141</v>
      </c>
      <c r="B107" s="192">
        <f>[1]VD!E50</f>
        <v>-3736</v>
      </c>
      <c r="C107" s="193">
        <f>B107+C88</f>
        <v>-4419.0711048454132</v>
      </c>
      <c r="D107" s="193">
        <f t="shared" ref="D107:L107" si="34">C107+D88</f>
        <v>-5157.0326753517402</v>
      </c>
      <c r="E107" s="193">
        <f t="shared" si="34"/>
        <v>-5954.3442024681563</v>
      </c>
      <c r="F107" s="193">
        <f t="shared" si="34"/>
        <v>-6815.8305527014045</v>
      </c>
      <c r="G107" s="193">
        <f t="shared" si="34"/>
        <v>-7746.7120967147512</v>
      </c>
      <c r="H107" s="193">
        <f t="shared" si="34"/>
        <v>-8752.6373343332561</v>
      </c>
      <c r="I107" s="193">
        <f t="shared" si="34"/>
        <v>-9839.71822355308</v>
      </c>
      <c r="J107" s="193">
        <f t="shared" si="34"/>
        <v>-11014.568438462888</v>
      </c>
      <c r="K107" s="193">
        <f t="shared" si="34"/>
        <v>-12284.344799742097</v>
      </c>
      <c r="L107" s="194">
        <f t="shared" si="34"/>
        <v>-13656.792141724765</v>
      </c>
    </row>
    <row r="108" spans="1:12" x14ac:dyDescent="0.2">
      <c r="A108" s="195" t="s">
        <v>147</v>
      </c>
      <c r="B108" s="196">
        <f>SUM(B106:B107)</f>
        <v>22431</v>
      </c>
      <c r="C108" s="196">
        <f t="shared" ref="C108:L108" si="35">SUM(C106:C107)</f>
        <v>23804.470799193863</v>
      </c>
      <c r="D108" s="196">
        <f t="shared" si="35"/>
        <v>25288.311443056358</v>
      </c>
      <c r="E108" s="196">
        <f t="shared" si="35"/>
        <v>26891.488758839449</v>
      </c>
      <c r="F108" s="196">
        <f t="shared" si="35"/>
        <v>28623.704244981611</v>
      </c>
      <c r="G108" s="196">
        <f t="shared" si="35"/>
        <v>30495.454651551918</v>
      </c>
      <c r="H108" s="196">
        <f t="shared" si="35"/>
        <v>32518.09758029041</v>
      </c>
      <c r="I108" s="196">
        <f t="shared" si="35"/>
        <v>34703.922521667526</v>
      </c>
      <c r="J108" s="196">
        <f t="shared" si="35"/>
        <v>37066.227781191628</v>
      </c>
      <c r="K108" s="196">
        <f t="shared" si="35"/>
        <v>39619.40378490842</v>
      </c>
      <c r="L108" s="197">
        <f t="shared" si="35"/>
        <v>42379.023294902225</v>
      </c>
    </row>
    <row r="109" spans="1:12" x14ac:dyDescent="0.2">
      <c r="A109" s="191" t="s">
        <v>183</v>
      </c>
      <c r="B109" s="198"/>
      <c r="C109" s="199">
        <f>C93/C108</f>
        <v>0.13389895869377635</v>
      </c>
      <c r="D109" s="199">
        <f t="shared" ref="D109:L109" si="36">D93/D108</f>
        <v>0.13640654663667962</v>
      </c>
      <c r="E109" s="199">
        <f t="shared" si="36"/>
        <v>0.13881277998011082</v>
      </c>
      <c r="F109" s="199">
        <f t="shared" si="36"/>
        <v>0.14111771453532915</v>
      </c>
      <c r="G109" s="199">
        <f t="shared" si="36"/>
        <v>0.14332194813718116</v>
      </c>
      <c r="H109" s="199">
        <f t="shared" si="36"/>
        <v>0.14542656801752066</v>
      </c>
      <c r="I109" s="199">
        <f t="shared" si="36"/>
        <v>0.14743309705420873</v>
      </c>
      <c r="J109" s="199">
        <f t="shared" si="36"/>
        <v>0.14934344002457359</v>
      </c>
      <c r="K109" s="199">
        <f t="shared" si="36"/>
        <v>0.15115983083558876</v>
      </c>
      <c r="L109" s="200">
        <f t="shared" si="36"/>
        <v>0.15132118988405815</v>
      </c>
    </row>
    <row r="110" spans="1:12" x14ac:dyDescent="0.2">
      <c r="A110" s="191" t="s">
        <v>184</v>
      </c>
      <c r="B110" s="198"/>
      <c r="C110" s="199">
        <f>C93/C39</f>
        <v>2.2867616558817205E-2</v>
      </c>
      <c r="D110" s="199">
        <f t="shared" ref="D110:L110" si="37">D93/D39</f>
        <v>2.2907219866118274E-2</v>
      </c>
      <c r="E110" s="199">
        <f t="shared" si="37"/>
        <v>2.2943905228859179E-2</v>
      </c>
      <c r="F110" s="199">
        <f t="shared" si="37"/>
        <v>2.2977885155580958E-2</v>
      </c>
      <c r="G110" s="199">
        <f t="shared" si="37"/>
        <v>2.300935689694349E-2</v>
      </c>
      <c r="H110" s="199">
        <f t="shared" si="37"/>
        <v>2.3038503522301055E-2</v>
      </c>
      <c r="I110" s="199">
        <f t="shared" si="37"/>
        <v>2.3065494921917458E-2</v>
      </c>
      <c r="J110" s="199">
        <f t="shared" si="37"/>
        <v>2.3090488739826113E-2</v>
      </c>
      <c r="K110" s="199">
        <f t="shared" si="37"/>
        <v>2.3113631242011008E-2</v>
      </c>
      <c r="L110" s="200">
        <f t="shared" si="37"/>
        <v>2.2898449983751536E-2</v>
      </c>
    </row>
    <row r="111" spans="1:12" x14ac:dyDescent="0.2">
      <c r="A111" s="191" t="s">
        <v>185</v>
      </c>
      <c r="B111" s="198"/>
      <c r="C111" s="201">
        <f>C106/C39</f>
        <v>0.2024867851627265</v>
      </c>
      <c r="D111" s="201">
        <f t="shared" ref="D111:L111" si="38">D106/D39</f>
        <v>0.20218001562125321</v>
      </c>
      <c r="E111" s="201">
        <f t="shared" si="38"/>
        <v>0.20188466057986759</v>
      </c>
      <c r="F111" s="201">
        <f t="shared" si="38"/>
        <v>0.20160007844693772</v>
      </c>
      <c r="G111" s="201">
        <f t="shared" si="38"/>
        <v>0.20132567133105969</v>
      </c>
      <c r="H111" s="201">
        <f t="shared" si="38"/>
        <v>0.20106088194992597</v>
      </c>
      <c r="I111" s="201">
        <f t="shared" si="38"/>
        <v>0.20080519075458486</v>
      </c>
      <c r="J111" s="201">
        <f t="shared" si="38"/>
        <v>0.20055811325452153</v>
      </c>
      <c r="K111" s="201">
        <f t="shared" si="38"/>
        <v>0.20031919752994404</v>
      </c>
      <c r="L111" s="202">
        <f t="shared" si="38"/>
        <v>0.20008802191854783</v>
      </c>
    </row>
    <row r="112" spans="1:12" ht="16" thickBot="1" x14ac:dyDescent="0.25">
      <c r="A112" s="203" t="s">
        <v>186</v>
      </c>
      <c r="B112" s="204"/>
      <c r="C112" s="205">
        <f>C106/C108</f>
        <v>1.1856403842002261</v>
      </c>
      <c r="D112" s="205">
        <f t="shared" ref="D112:L112" si="39">D106/D108</f>
        <v>1.2039294986920825</v>
      </c>
      <c r="E112" s="205">
        <f t="shared" si="39"/>
        <v>1.2214211439115998</v>
      </c>
      <c r="F112" s="205">
        <f t="shared" si="39"/>
        <v>1.2381183963601208</v>
      </c>
      <c r="G112" s="205">
        <f t="shared" si="39"/>
        <v>1.254028417848839</v>
      </c>
      <c r="H112" s="205">
        <f t="shared" si="39"/>
        <v>1.2691620354703139</v>
      </c>
      <c r="I112" s="205">
        <f t="shared" si="39"/>
        <v>1.2835333157918853</v>
      </c>
      <c r="J112" s="205">
        <f t="shared" si="39"/>
        <v>1.2971591418334716</v>
      </c>
      <c r="K112" s="205">
        <f t="shared" si="39"/>
        <v>1.3100588001382638</v>
      </c>
      <c r="L112" s="206">
        <f t="shared" si="39"/>
        <v>1.3222535839651486</v>
      </c>
    </row>
  </sheetData>
  <mergeCells count="9">
    <mergeCell ref="O21:Q21"/>
    <mergeCell ref="A35:L35"/>
    <mergeCell ref="A97:C97"/>
    <mergeCell ref="A105:L105"/>
    <mergeCell ref="G5:I5"/>
    <mergeCell ref="A7:E7"/>
    <mergeCell ref="G11:O11"/>
    <mergeCell ref="H12:K12"/>
    <mergeCell ref="L12:O12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[1]RG!C13:F13</xm:f>
              <xm:sqref>E9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[1]RG!C16:F16</xm:f>
              <xm:sqref>E10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[1]RG!C19:F19</xm:f>
              <xm:sqref>E11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[1]VD!B16:F16</xm:f>
              <xm:sqref>E13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[1]VD!B17:F17</xm:f>
              <xm:sqref>E14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[1]VD!B18:F18</xm:f>
              <xm:sqref>E15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[1]VD!B23:F23</xm:f>
              <xm:sqref>E17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[1]VD!B24:F24</xm:f>
              <xm:sqref>E18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[1]VD!B25:F25</xm:f>
              <xm:sqref>E19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[1]VD!B28:F28</xm:f>
              <xm:sqref>E20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[1]VD!B29:F29</xm:f>
              <xm:sqref>E21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[1]VD!C32:F32</xm:f>
              <xm:sqref>E23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[1]VD!C33:F33</xm:f>
              <xm:sqref>E24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MC!C109:L109</xm:f>
              <xm:sqref>K14</xm:sqref>
            </x14:sparkline>
            <x14:sparkline>
              <xm:f>MC!C110:L110</xm:f>
              <xm:sqref>K15</xm:sqref>
            </x14:sparkline>
            <x14:sparkline>
              <xm:f>MC!C111:L111</xm:f>
              <xm:sqref>K16</xm:sqref>
            </x14:sparkline>
            <x14:sparkline>
              <xm:f>MC!C112:L112</xm:f>
              <xm:sqref>K17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[1]VD!B36:F36</xm:f>
              <xm:sqref>O14</xm:sqref>
            </x14:sparkline>
            <x14:sparkline>
              <xm:f>[1]VD!B37:F37</xm:f>
              <xm:sqref>O15</xm:sqref>
            </x14:sparkline>
            <x14:sparkline>
              <xm:f>[1]VD!B38:F38</xm:f>
              <xm:sqref>O16</xm:sqref>
            </x14:sparkline>
            <x14:sparkline>
              <xm:f>[1]VD!B39:F39</xm:f>
              <xm:sqref>O17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0"/>
  <sheetViews>
    <sheetView workbookViewId="0">
      <selection activeCell="O29" sqref="O29"/>
    </sheetView>
  </sheetViews>
  <sheetFormatPr baseColWidth="10" defaultRowHeight="15" x14ac:dyDescent="0.2"/>
  <cols>
    <col min="1" max="1" width="24.1640625" bestFit="1" customWidth="1"/>
    <col min="2" max="2" width="15.1640625" bestFit="1" customWidth="1"/>
    <col min="3" max="3" width="24.5" bestFit="1" customWidth="1"/>
  </cols>
  <sheetData>
    <row r="3" spans="1:6" x14ac:dyDescent="0.2">
      <c r="A3" t="s">
        <v>76</v>
      </c>
      <c r="B3">
        <v>2013</v>
      </c>
      <c r="C3">
        <v>2014</v>
      </c>
      <c r="D3">
        <v>2015</v>
      </c>
      <c r="E3">
        <v>2016</v>
      </c>
      <c r="F3">
        <v>2017</v>
      </c>
    </row>
    <row r="4" spans="1:6" x14ac:dyDescent="0.2">
      <c r="A4" t="s">
        <v>78</v>
      </c>
      <c r="B4">
        <v>75493</v>
      </c>
      <c r="C4">
        <v>80477</v>
      </c>
      <c r="D4">
        <v>84351</v>
      </c>
      <c r="E4">
        <v>86579</v>
      </c>
      <c r="F4">
        <v>93889</v>
      </c>
    </row>
    <row r="5" spans="1:6" x14ac:dyDescent="0.2">
      <c r="A5" t="s">
        <v>81</v>
      </c>
      <c r="B5">
        <v>17179</v>
      </c>
      <c r="C5">
        <v>17943</v>
      </c>
      <c r="D5">
        <v>17341</v>
      </c>
      <c r="E5">
        <v>17028</v>
      </c>
      <c r="F5">
        <v>18775</v>
      </c>
    </row>
    <row r="6" spans="1:6" x14ac:dyDescent="0.2">
      <c r="A6" t="s">
        <v>82</v>
      </c>
      <c r="B6">
        <v>12484</v>
      </c>
      <c r="C6">
        <v>14220</v>
      </c>
      <c r="D6">
        <v>14507</v>
      </c>
      <c r="E6">
        <v>15112</v>
      </c>
      <c r="F6">
        <v>16361</v>
      </c>
    </row>
    <row r="7" spans="1:6" x14ac:dyDescent="0.2">
      <c r="A7" t="s">
        <v>83</v>
      </c>
      <c r="B7">
        <v>105156</v>
      </c>
      <c r="C7">
        <v>112640</v>
      </c>
      <c r="D7">
        <v>116199</v>
      </c>
      <c r="E7">
        <v>118719</v>
      </c>
      <c r="F7">
        <v>129025</v>
      </c>
    </row>
    <row r="25" spans="1:2" x14ac:dyDescent="0.2">
      <c r="A25" t="s">
        <v>242</v>
      </c>
    </row>
    <row r="27" spans="1:2" x14ac:dyDescent="0.2">
      <c r="B27" s="256"/>
    </row>
    <row r="28" spans="1:2" x14ac:dyDescent="0.2">
      <c r="A28">
        <v>2013</v>
      </c>
      <c r="B28" s="256">
        <v>0.1062</v>
      </c>
    </row>
    <row r="29" spans="1:2" x14ac:dyDescent="0.2">
      <c r="A29">
        <v>2014</v>
      </c>
      <c r="B29" s="256">
        <v>0.1066</v>
      </c>
    </row>
    <row r="30" spans="1:2" x14ac:dyDescent="0.2">
      <c r="A30">
        <v>2015</v>
      </c>
      <c r="B30" s="256">
        <v>0.1109</v>
      </c>
    </row>
    <row r="31" spans="1:2" x14ac:dyDescent="0.2">
      <c r="A31">
        <v>2016</v>
      </c>
      <c r="B31" s="256">
        <v>0.1135</v>
      </c>
    </row>
    <row r="32" spans="1:2" x14ac:dyDescent="0.2">
      <c r="A32">
        <v>2017</v>
      </c>
      <c r="B32" s="256">
        <v>0.1133</v>
      </c>
    </row>
    <row r="38" spans="1:3" x14ac:dyDescent="0.2">
      <c r="B38" t="s">
        <v>243</v>
      </c>
      <c r="C38" t="s">
        <v>244</v>
      </c>
    </row>
    <row r="39" spans="1:3" x14ac:dyDescent="0.2">
      <c r="A39">
        <v>2013</v>
      </c>
      <c r="B39" s="255">
        <v>0.86539997717676598</v>
      </c>
      <c r="C39" s="255">
        <v>9.6085815360036519E-2</v>
      </c>
    </row>
    <row r="40" spans="1:3" x14ac:dyDescent="0.2">
      <c r="A40">
        <v>2014</v>
      </c>
      <c r="B40" s="255">
        <v>0.86495916193181821</v>
      </c>
      <c r="C40" s="255">
        <v>9.6759588068181815E-2</v>
      </c>
    </row>
    <row r="41" spans="1:3" x14ac:dyDescent="0.2">
      <c r="A41">
        <v>2015</v>
      </c>
      <c r="B41" s="255">
        <v>0.86005903665263905</v>
      </c>
      <c r="C41" s="255">
        <v>9.8494823535486539E-2</v>
      </c>
    </row>
    <row r="42" spans="1:3" x14ac:dyDescent="0.2">
      <c r="A42">
        <v>2016</v>
      </c>
      <c r="B42" s="255">
        <v>0.85618982639678565</v>
      </c>
      <c r="C42" s="255">
        <v>0.10165179962769229</v>
      </c>
    </row>
    <row r="43" spans="1:3" x14ac:dyDescent="0.2">
      <c r="A43">
        <v>2017</v>
      </c>
      <c r="B43" s="255">
        <v>0.85651617903507071</v>
      </c>
      <c r="C43" s="255">
        <v>0.10036814570819609</v>
      </c>
    </row>
    <row r="61" spans="1:3" x14ac:dyDescent="0.2">
      <c r="A61" t="s">
        <v>245</v>
      </c>
    </row>
    <row r="63" spans="1:3" x14ac:dyDescent="0.2">
      <c r="B63">
        <v>2013</v>
      </c>
      <c r="C63" s="260">
        <v>0.31</v>
      </c>
    </row>
    <row r="64" spans="1:3" x14ac:dyDescent="0.2">
      <c r="B64">
        <v>2014</v>
      </c>
      <c r="C64" s="260">
        <v>0.35499999999999998</v>
      </c>
    </row>
    <row r="65" spans="1:3" x14ac:dyDescent="0.2">
      <c r="B65">
        <v>2015</v>
      </c>
      <c r="C65" s="260">
        <v>0.4</v>
      </c>
    </row>
    <row r="66" spans="1:3" x14ac:dyDescent="0.2">
      <c r="B66">
        <v>2016</v>
      </c>
      <c r="C66" s="260">
        <v>0.45</v>
      </c>
    </row>
    <row r="67" spans="1:3" x14ac:dyDescent="0.2">
      <c r="B67">
        <v>2017</v>
      </c>
      <c r="C67" s="260">
        <v>0.5</v>
      </c>
    </row>
    <row r="75" spans="1:3" x14ac:dyDescent="0.2">
      <c r="A75" t="s">
        <v>246</v>
      </c>
    </row>
    <row r="76" spans="1:3" x14ac:dyDescent="0.2">
      <c r="B76">
        <v>2013</v>
      </c>
      <c r="C76">
        <v>34</v>
      </c>
    </row>
    <row r="77" spans="1:3" x14ac:dyDescent="0.2">
      <c r="B77">
        <v>2014</v>
      </c>
      <c r="C77">
        <v>334</v>
      </c>
    </row>
    <row r="78" spans="1:3" x14ac:dyDescent="0.2">
      <c r="B78">
        <v>2015</v>
      </c>
      <c r="C78">
        <v>494</v>
      </c>
    </row>
    <row r="79" spans="1:3" x14ac:dyDescent="0.2">
      <c r="B79">
        <v>2016</v>
      </c>
      <c r="C79">
        <v>477</v>
      </c>
    </row>
    <row r="80" spans="1:3" x14ac:dyDescent="0.2">
      <c r="B80">
        <v>2017</v>
      </c>
      <c r="C80">
        <v>473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CP</vt:lpstr>
      <vt:lpstr>BS</vt:lpstr>
      <vt:lpstr>IS</vt:lpstr>
      <vt:lpstr>RG</vt:lpstr>
      <vt:lpstr>VD</vt:lpstr>
      <vt:lpstr>P-DCF</vt:lpstr>
      <vt:lpstr>Tuned P-DCF</vt:lpstr>
      <vt:lpstr>MC</vt:lpstr>
      <vt:lpstr>Graphs for Paper</vt:lpstr>
    </vt:vector>
  </TitlesOfParts>
  <Company>Johns Hopkins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2017-10-08T12:21:42Z</dcterms:created>
  <dcterms:modified xsi:type="dcterms:W3CDTF">2017-12-20T16:47:17Z</dcterms:modified>
</cp:coreProperties>
</file>