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yan\Desktop\Hanke Stuff\"/>
    </mc:Choice>
  </mc:AlternateContent>
  <bookViews>
    <workbookView xWindow="0" yWindow="0" windowWidth="15600" windowHeight="7530" firstSheet="7" activeTab="8"/>
  </bookViews>
  <sheets>
    <sheet name="Cover" sheetId="11" r:id="rId1"/>
    <sheet name="Annual Currency Data" sheetId="3" r:id="rId2"/>
    <sheet name="Currency Funds" sheetId="15" r:id="rId3"/>
    <sheet name="Banking Data" sheetId="4" r:id="rId4"/>
    <sheet name="Currency Graph" sheetId="7" r:id="rId5"/>
    <sheet name="Loans Graph" sheetId="14" r:id="rId6"/>
    <sheet name="Currency Board Analysis" sheetId="12" r:id="rId7"/>
    <sheet name="Currency Graph Depression" sheetId="13" r:id="rId8"/>
    <sheet name="Currency Funds and Export Graph" sheetId="9" r:id="rId9"/>
    <sheet name="Budget Balance" sheetId="5" r:id="rId10"/>
    <sheet name="Budget Balance Graph" sheetId="19" r:id="rId11"/>
    <sheet name="Annual Nonbank Data" sheetId="16" r:id="rId12"/>
    <sheet name="Monthly Circulation" sheetId="17" r:id="rId13"/>
    <sheet name="Silver" sheetId="18" r:id="rId14"/>
  </sheets>
  <externalReferences>
    <externalReference r:id="rId15"/>
  </externalReferences>
  <calcPr calcId="171027"/>
</workbook>
</file>

<file path=xl/calcChain.xml><?xml version="1.0" encoding="utf-8"?>
<calcChain xmlns="http://schemas.openxmlformats.org/spreadsheetml/2006/main">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5" i="19"/>
  <c r="B4" i="19"/>
  <c r="R41" i="12" l="1"/>
  <c r="S41" i="12"/>
  <c r="T41" i="12"/>
  <c r="P41" i="12"/>
  <c r="Q41" i="12"/>
  <c r="L25" i="12" l="1"/>
  <c r="M25" i="12"/>
  <c r="N25" i="12"/>
  <c r="O25" i="12"/>
  <c r="K25" i="12"/>
  <c r="J9" i="12"/>
  <c r="B9" i="12"/>
  <c r="C9" i="12"/>
  <c r="I9" i="12" l="1"/>
  <c r="H9" i="12"/>
  <c r="G9" i="12"/>
  <c r="F9" i="12"/>
  <c r="E9" i="12"/>
  <c r="D9" i="12"/>
  <c r="X82" i="3" l="1"/>
  <c r="Y82" i="3"/>
  <c r="Z82" i="3"/>
  <c r="AA82" i="3"/>
  <c r="AB82" i="3"/>
  <c r="AC82" i="3"/>
  <c r="AD82" i="3"/>
  <c r="AE82" i="3"/>
  <c r="AF82" i="3"/>
  <c r="AG82" i="3"/>
  <c r="AH82" i="3"/>
  <c r="AI82" i="3"/>
  <c r="AJ82" i="3"/>
  <c r="AK82" i="3"/>
  <c r="AL82" i="3"/>
  <c r="AN82" i="3"/>
  <c r="W82" i="3"/>
  <c r="X79" i="3"/>
  <c r="Y79" i="3"/>
  <c r="Z79" i="3"/>
  <c r="AA79" i="3"/>
  <c r="AB79" i="3"/>
  <c r="AC79" i="3"/>
  <c r="AD79" i="3"/>
  <c r="AE79" i="3"/>
  <c r="AF79" i="3"/>
  <c r="AG79" i="3"/>
  <c r="AH79" i="3"/>
  <c r="AI79" i="3"/>
  <c r="AJ79" i="3"/>
  <c r="AK79" i="3"/>
  <c r="AL79" i="3"/>
  <c r="AM79" i="3"/>
  <c r="AN79" i="3"/>
  <c r="W79" i="3"/>
  <c r="E35" i="15"/>
  <c r="F35" i="15"/>
  <c r="G35" i="15"/>
  <c r="H35" i="15"/>
  <c r="I35" i="15"/>
  <c r="J35" i="15"/>
  <c r="K35" i="15"/>
  <c r="L35" i="15"/>
  <c r="M35" i="15"/>
  <c r="N35" i="15"/>
  <c r="O35" i="15"/>
  <c r="P35" i="15"/>
  <c r="Q35" i="15"/>
  <c r="R35" i="15"/>
  <c r="S35" i="15"/>
  <c r="T35" i="15"/>
  <c r="U35" i="15"/>
  <c r="V35" i="15"/>
  <c r="W35" i="15"/>
  <c r="X35" i="15"/>
  <c r="Y35" i="15"/>
  <c r="Z35" i="15"/>
  <c r="AA35" i="15"/>
  <c r="AB35" i="15"/>
  <c r="AC35" i="15"/>
  <c r="AD35" i="15"/>
  <c r="AE35" i="15"/>
  <c r="AF35" i="15"/>
  <c r="AG35" i="15"/>
  <c r="AH35" i="15"/>
  <c r="AI35" i="15"/>
  <c r="AJ35" i="15"/>
  <c r="AK35" i="15"/>
  <c r="AL35" i="15"/>
  <c r="AM35" i="15"/>
  <c r="AN35" i="15"/>
  <c r="AO35" i="15"/>
  <c r="AP35" i="15"/>
  <c r="AQ35" i="15"/>
  <c r="AR35" i="15"/>
  <c r="AS35" i="15"/>
  <c r="AT35" i="15"/>
  <c r="AU35" i="15"/>
  <c r="AV35" i="15"/>
  <c r="AW35" i="15"/>
  <c r="D35" i="15"/>
  <c r="AM19" i="3"/>
  <c r="AM21" i="3"/>
  <c r="AM82" i="3" s="1"/>
  <c r="AU76" i="15" l="1"/>
  <c r="AT76" i="15"/>
  <c r="E76" i="15"/>
  <c r="F76" i="15"/>
  <c r="G76" i="15"/>
  <c r="H76" i="15"/>
  <c r="I76" i="15"/>
  <c r="J76" i="15"/>
  <c r="K76" i="15"/>
  <c r="L76" i="15"/>
  <c r="M76" i="15"/>
  <c r="N76" i="15"/>
  <c r="O76" i="15"/>
  <c r="P76" i="15"/>
  <c r="Q76" i="15"/>
  <c r="D76" i="15"/>
  <c r="AW22" i="15"/>
  <c r="AV22" i="15"/>
  <c r="AU22" i="15"/>
  <c r="AU25" i="15" s="1"/>
  <c r="AT22" i="15"/>
  <c r="AT25" i="15" s="1"/>
  <c r="E22" i="15"/>
  <c r="F22" i="15"/>
  <c r="G22" i="15"/>
  <c r="H22" i="15"/>
  <c r="H25" i="15" s="1"/>
  <c r="I22" i="15"/>
  <c r="J22" i="15"/>
  <c r="K22" i="15"/>
  <c r="K25" i="15" s="1"/>
  <c r="L22" i="15"/>
  <c r="M22" i="15"/>
  <c r="N22" i="15"/>
  <c r="O22" i="15"/>
  <c r="P22" i="15"/>
  <c r="P25" i="15" s="1"/>
  <c r="Q22" i="15"/>
  <c r="R22" i="15"/>
  <c r="S22" i="15"/>
  <c r="T22" i="15"/>
  <c r="U22" i="15"/>
  <c r="V22" i="15"/>
  <c r="W22" i="15"/>
  <c r="W25" i="15" s="1"/>
  <c r="X22" i="15"/>
  <c r="X25" i="15" s="1"/>
  <c r="Y22" i="15"/>
  <c r="Z22" i="15"/>
  <c r="Z25" i="15" s="1"/>
  <c r="AA22" i="15"/>
  <c r="AA25" i="15" s="1"/>
  <c r="AB22" i="15"/>
  <c r="AC22" i="15"/>
  <c r="AD22" i="15"/>
  <c r="AE22" i="15"/>
  <c r="AE25" i="15" s="1"/>
  <c r="AF22" i="15"/>
  <c r="AF25" i="15" s="1"/>
  <c r="AG22" i="15"/>
  <c r="AH22" i="15"/>
  <c r="AI22" i="15"/>
  <c r="AI25" i="15" s="1"/>
  <c r="AJ22" i="15"/>
  <c r="AK22" i="15"/>
  <c r="AL22" i="15"/>
  <c r="AM22" i="15"/>
  <c r="AM25" i="15" s="1"/>
  <c r="AN22" i="15"/>
  <c r="AN25" i="15" s="1"/>
  <c r="AO22" i="15"/>
  <c r="D22" i="15"/>
  <c r="AW10" i="15"/>
  <c r="AV10" i="15"/>
  <c r="AU10" i="15"/>
  <c r="E10" i="15"/>
  <c r="F10" i="15"/>
  <c r="G10" i="15"/>
  <c r="H10" i="15"/>
  <c r="I10" i="15"/>
  <c r="J10" i="15"/>
  <c r="K10" i="15"/>
  <c r="L10" i="15"/>
  <c r="M10" i="15"/>
  <c r="N10" i="15"/>
  <c r="O10" i="15"/>
  <c r="P10" i="15"/>
  <c r="Q10" i="15"/>
  <c r="U10" i="15"/>
  <c r="V10" i="15"/>
  <c r="W10" i="15"/>
  <c r="X10" i="15"/>
  <c r="Y10" i="15"/>
  <c r="Z10" i="15"/>
  <c r="AA10" i="15"/>
  <c r="AB10" i="15"/>
  <c r="AC10" i="15"/>
  <c r="AD10" i="15"/>
  <c r="AE10" i="15"/>
  <c r="AF10" i="15"/>
  <c r="AG10" i="15"/>
  <c r="AH10" i="15"/>
  <c r="AI10" i="15"/>
  <c r="AJ10" i="15"/>
  <c r="AK10" i="15"/>
  <c r="AL10" i="15"/>
  <c r="AM10" i="15"/>
  <c r="AN10" i="15"/>
  <c r="D10" i="15"/>
  <c r="D9"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F12" i="15"/>
  <c r="AG12" i="15"/>
  <c r="AH12" i="15"/>
  <c r="AI12" i="15"/>
  <c r="AJ12" i="15"/>
  <c r="AK12" i="15"/>
  <c r="AL12" i="15"/>
  <c r="AM12" i="15"/>
  <c r="AN12" i="15"/>
  <c r="AU12" i="15"/>
  <c r="AV12" i="15"/>
  <c r="AW12" i="15"/>
  <c r="D12" i="15"/>
  <c r="M9" i="15"/>
  <c r="P9" i="15"/>
  <c r="AW67" i="15"/>
  <c r="AW76" i="15" s="1"/>
  <c r="AV67" i="15"/>
  <c r="AV76" i="15" s="1"/>
  <c r="X67" i="15"/>
  <c r="Y67" i="15"/>
  <c r="Z67" i="15"/>
  <c r="AA67" i="15"/>
  <c r="AB67" i="15"/>
  <c r="AC67" i="15"/>
  <c r="AD67" i="15"/>
  <c r="AE67" i="15"/>
  <c r="AF67" i="15"/>
  <c r="AG67" i="15"/>
  <c r="AH67" i="15"/>
  <c r="AI67" i="15"/>
  <c r="AJ67" i="15"/>
  <c r="AK67" i="15"/>
  <c r="AL67" i="15"/>
  <c r="AM67" i="15"/>
  <c r="AN67" i="15"/>
  <c r="W67" i="15"/>
  <c r="G6" i="3"/>
  <c r="I6" i="3"/>
  <c r="F6" i="3"/>
  <c r="AW13" i="15"/>
  <c r="AV13" i="15"/>
  <c r="AU13" i="15"/>
  <c r="E13" i="15"/>
  <c r="F13" i="15"/>
  <c r="G13" i="15"/>
  <c r="H13" i="15"/>
  <c r="I13" i="15"/>
  <c r="J13" i="15"/>
  <c r="K13" i="15"/>
  <c r="L13" i="15"/>
  <c r="M13" i="15"/>
  <c r="N13" i="15"/>
  <c r="O13" i="15"/>
  <c r="P13" i="15"/>
  <c r="Q13" i="15"/>
  <c r="R13" i="15"/>
  <c r="S13" i="15"/>
  <c r="T13" i="15"/>
  <c r="U13" i="15"/>
  <c r="V13" i="15"/>
  <c r="W13" i="15"/>
  <c r="X13" i="15"/>
  <c r="Y13" i="15"/>
  <c r="Z13" i="15"/>
  <c r="AA13" i="15"/>
  <c r="AB13" i="15"/>
  <c r="AC13" i="15"/>
  <c r="AD13" i="15"/>
  <c r="AE13" i="15"/>
  <c r="AF13" i="15"/>
  <c r="AG13" i="15"/>
  <c r="AH13" i="15"/>
  <c r="AI13" i="15"/>
  <c r="AJ13" i="15"/>
  <c r="AK13" i="15"/>
  <c r="AL13" i="15"/>
  <c r="AM13" i="15"/>
  <c r="AN13" i="15"/>
  <c r="D13" i="15"/>
  <c r="AW9" i="15"/>
  <c r="AV9" i="15"/>
  <c r="AU9" i="15"/>
  <c r="E9" i="15"/>
  <c r="F9" i="15"/>
  <c r="G9" i="15"/>
  <c r="H9" i="15"/>
  <c r="J9" i="15"/>
  <c r="K9" i="15"/>
  <c r="L9" i="15"/>
  <c r="N9" i="15"/>
  <c r="Q9" i="15"/>
  <c r="R9" i="15"/>
  <c r="S9" i="15"/>
  <c r="T9" i="15"/>
  <c r="U9" i="15"/>
  <c r="V9" i="15"/>
  <c r="W9" i="15"/>
  <c r="X9" i="15"/>
  <c r="Y9" i="15"/>
  <c r="Z9" i="15"/>
  <c r="AA9" i="15"/>
  <c r="AB9" i="15"/>
  <c r="AC9" i="15"/>
  <c r="AD9" i="15"/>
  <c r="AE9" i="15"/>
  <c r="AF9" i="15"/>
  <c r="AG9" i="15"/>
  <c r="AH9" i="15"/>
  <c r="AI9" i="15"/>
  <c r="AJ9" i="15"/>
  <c r="AK9" i="15"/>
  <c r="AL9" i="15"/>
  <c r="AM9" i="15"/>
  <c r="AN9" i="15"/>
  <c r="E8" i="15"/>
  <c r="F8" i="15"/>
  <c r="G8" i="15"/>
  <c r="H8" i="15"/>
  <c r="I8" i="15"/>
  <c r="J8" i="15"/>
  <c r="K8" i="15"/>
  <c r="L8" i="15"/>
  <c r="M8" i="15"/>
  <c r="N8" i="15"/>
  <c r="O8" i="15"/>
  <c r="P8" i="15"/>
  <c r="Q8" i="15"/>
  <c r="R8" i="15"/>
  <c r="S8" i="15"/>
  <c r="V8" i="15"/>
  <c r="W8" i="15"/>
  <c r="X8" i="15"/>
  <c r="Y8" i="15"/>
  <c r="Z8" i="15"/>
  <c r="AA8" i="15"/>
  <c r="AB8" i="15"/>
  <c r="AC8" i="15"/>
  <c r="AD8" i="15"/>
  <c r="AE8" i="15"/>
  <c r="AF8" i="15"/>
  <c r="AG8" i="15"/>
  <c r="AH8" i="15"/>
  <c r="AI8" i="15"/>
  <c r="AJ8" i="15"/>
  <c r="AK8" i="15"/>
  <c r="AL8" i="15"/>
  <c r="AM8" i="15"/>
  <c r="AN8" i="15"/>
  <c r="AU8" i="15"/>
  <c r="AV8" i="15"/>
  <c r="AW8" i="15"/>
  <c r="D8" i="15"/>
  <c r="F25" i="15"/>
  <c r="G25" i="15"/>
  <c r="J25" i="15"/>
  <c r="M25" i="15"/>
  <c r="N25" i="15"/>
  <c r="O25" i="15"/>
  <c r="Q25" i="15"/>
  <c r="R25" i="15"/>
  <c r="S25" i="15"/>
  <c r="U25" i="15"/>
  <c r="V25" i="15"/>
  <c r="AC25" i="15"/>
  <c r="AD25" i="15"/>
  <c r="AG25" i="15"/>
  <c r="AH25" i="15"/>
  <c r="AK25" i="15"/>
  <c r="AL25" i="15"/>
  <c r="AO25" i="15"/>
  <c r="AW25" i="15"/>
  <c r="D25" i="15"/>
  <c r="E25" i="15"/>
  <c r="I25" i="15"/>
  <c r="Y25" i="15"/>
  <c r="AM76" i="15" l="1"/>
  <c r="AK57" i="12"/>
  <c r="AH76" i="15"/>
  <c r="AF57" i="12"/>
  <c r="AD76" i="15"/>
  <c r="AB57" i="12"/>
  <c r="Z76" i="15"/>
  <c r="X57" i="12"/>
  <c r="W76" i="15"/>
  <c r="U57" i="12"/>
  <c r="AK76" i="15"/>
  <c r="AI57" i="12"/>
  <c r="AG76" i="15"/>
  <c r="AE57" i="12"/>
  <c r="AC76" i="15"/>
  <c r="AA57" i="12"/>
  <c r="Y76" i="15"/>
  <c r="W57" i="12"/>
  <c r="AI76" i="15"/>
  <c r="AG57" i="12"/>
  <c r="AE76" i="15"/>
  <c r="AC57" i="12"/>
  <c r="AA76" i="15"/>
  <c r="Y57" i="12"/>
  <c r="AL76" i="15"/>
  <c r="AJ57" i="12"/>
  <c r="AN76" i="15"/>
  <c r="AL57" i="12"/>
  <c r="AJ76" i="15"/>
  <c r="AH57" i="12"/>
  <c r="AF76" i="15"/>
  <c r="AD57" i="12"/>
  <c r="AB76" i="15"/>
  <c r="Z57" i="12"/>
  <c r="X76" i="15"/>
  <c r="V57" i="12"/>
  <c r="O9" i="15"/>
  <c r="I9" i="15"/>
  <c r="AV25" i="15"/>
  <c r="AJ25" i="15"/>
  <c r="AB25" i="15"/>
  <c r="T25" i="15"/>
  <c r="L25" i="15"/>
  <c r="AU24" i="15"/>
  <c r="AT24" i="15"/>
  <c r="T40" i="15"/>
  <c r="S40" i="15" s="1"/>
  <c r="U44" i="15"/>
  <c r="T44" i="15"/>
  <c r="T8" i="15" s="1"/>
  <c r="V45" i="15"/>
  <c r="V7" i="15" s="1"/>
  <c r="W45" i="15"/>
  <c r="W7" i="15" s="1"/>
  <c r="X45" i="15"/>
  <c r="X7" i="15" s="1"/>
  <c r="Y45" i="15"/>
  <c r="Y7" i="15" s="1"/>
  <c r="Z45" i="15"/>
  <c r="Z7" i="15" s="1"/>
  <c r="AA45" i="15"/>
  <c r="AA7" i="15" s="1"/>
  <c r="AB45" i="15"/>
  <c r="AB7" i="15" s="1"/>
  <c r="AC45" i="15"/>
  <c r="AC7" i="15" s="1"/>
  <c r="AD45" i="15"/>
  <c r="AD7" i="15" s="1"/>
  <c r="AE45" i="15"/>
  <c r="AE7" i="15" s="1"/>
  <c r="AF45" i="15"/>
  <c r="AF7" i="15" s="1"/>
  <c r="AG45" i="15"/>
  <c r="AG7" i="15" s="1"/>
  <c r="AH45" i="15"/>
  <c r="AH7" i="15" s="1"/>
  <c r="AI45" i="15"/>
  <c r="AI7" i="15" s="1"/>
  <c r="AJ45" i="15"/>
  <c r="AJ7" i="15" s="1"/>
  <c r="AK45" i="15"/>
  <c r="AK7" i="15" s="1"/>
  <c r="AL45" i="15"/>
  <c r="AL7" i="15" s="1"/>
  <c r="AM45" i="15"/>
  <c r="AM7" i="15" s="1"/>
  <c r="AN45" i="15"/>
  <c r="AN7" i="15" s="1"/>
  <c r="AO45" i="15"/>
  <c r="AP45" i="15"/>
  <c r="AQ45" i="15"/>
  <c r="AR45" i="15"/>
  <c r="AS45" i="15"/>
  <c r="AT45" i="15"/>
  <c r="AU45" i="15"/>
  <c r="AU7" i="15" s="1"/>
  <c r="AV45" i="15"/>
  <c r="AV7" i="15" s="1"/>
  <c r="AW45" i="15"/>
  <c r="AW7" i="15" s="1"/>
  <c r="AY86" i="3"/>
  <c r="AY85" i="3"/>
  <c r="AY84" i="3"/>
  <c r="AY83" i="3"/>
  <c r="AM28" i="3"/>
  <c r="AM26" i="3"/>
  <c r="AM25" i="3"/>
  <c r="AM85" i="3" s="1"/>
  <c r="AM24" i="3"/>
  <c r="AM23" i="3"/>
  <c r="AM20" i="3"/>
  <c r="AM86" i="3" s="1"/>
  <c r="AM11" i="3"/>
  <c r="AM17" i="3"/>
  <c r="AM18" i="3"/>
  <c r="W83" i="3"/>
  <c r="X83" i="3"/>
  <c r="Y83" i="3"/>
  <c r="Z83" i="3"/>
  <c r="AA83" i="3"/>
  <c r="AB83" i="3"/>
  <c r="AC83" i="3"/>
  <c r="AD83" i="3"/>
  <c r="AE83" i="3"/>
  <c r="AF83" i="3"/>
  <c r="AG83" i="3"/>
  <c r="AH83" i="3"/>
  <c r="AI83" i="3"/>
  <c r="AJ83" i="3"/>
  <c r="AK83" i="3"/>
  <c r="AL83" i="3"/>
  <c r="AN83" i="3"/>
  <c r="W84" i="3"/>
  <c r="X84" i="3"/>
  <c r="Y84" i="3"/>
  <c r="Z84" i="3"/>
  <c r="AA84" i="3"/>
  <c r="AB84" i="3"/>
  <c r="AC84" i="3"/>
  <c r="AD84" i="3"/>
  <c r="AE84" i="3"/>
  <c r="AF84" i="3"/>
  <c r="AG84" i="3"/>
  <c r="AH84" i="3"/>
  <c r="AI84" i="3"/>
  <c r="AJ84" i="3"/>
  <c r="AK84" i="3"/>
  <c r="AL84" i="3"/>
  <c r="AN84" i="3"/>
  <c r="V84" i="3"/>
  <c r="V83"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N85"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N86" i="3"/>
  <c r="E83" i="3"/>
  <c r="F83" i="3"/>
  <c r="E84" i="3"/>
  <c r="F84" i="3"/>
  <c r="E85" i="3"/>
  <c r="F85" i="3"/>
  <c r="E86" i="3"/>
  <c r="F86" i="3"/>
  <c r="D84" i="3"/>
  <c r="D85" i="3"/>
  <c r="D86" i="3"/>
  <c r="D83" i="3"/>
  <c r="AU237" i="15"/>
  <c r="AV237" i="15"/>
  <c r="AW237" i="15"/>
  <c r="AU238" i="15"/>
  <c r="AV238" i="15"/>
  <c r="AW238" i="15"/>
  <c r="AT238" i="15"/>
  <c r="AT237" i="15"/>
  <c r="L145" i="15"/>
  <c r="M145" i="15"/>
  <c r="N145" i="15"/>
  <c r="O145" i="15"/>
  <c r="P145" i="15"/>
  <c r="Q145" i="15"/>
  <c r="R145" i="15"/>
  <c r="S145" i="15"/>
  <c r="T145" i="15"/>
  <c r="U145" i="15"/>
  <c r="V145" i="15"/>
  <c r="L146" i="15"/>
  <c r="M146" i="15"/>
  <c r="N146" i="15"/>
  <c r="O146" i="15"/>
  <c r="P146" i="15"/>
  <c r="Q146" i="15"/>
  <c r="R146" i="15"/>
  <c r="S146" i="15"/>
  <c r="T146" i="15"/>
  <c r="U146" i="15"/>
  <c r="V146" i="15"/>
  <c r="K146" i="15"/>
  <c r="K145" i="15"/>
  <c r="E99" i="15"/>
  <c r="F99" i="15"/>
  <c r="G99" i="15"/>
  <c r="H99" i="15"/>
  <c r="I99" i="15"/>
  <c r="J99" i="15"/>
  <c r="D99" i="15"/>
  <c r="V143" i="15"/>
  <c r="U143" i="15"/>
  <c r="Q143" i="15"/>
  <c r="S140" i="15"/>
  <c r="S10" i="15" s="1"/>
  <c r="T140" i="15"/>
  <c r="T10" i="15" s="1"/>
  <c r="R140" i="15"/>
  <c r="R10" i="15" s="1"/>
  <c r="AW14" i="15" l="1"/>
  <c r="AW24" i="15" s="1"/>
  <c r="AW15" i="15"/>
  <c r="AK14" i="15"/>
  <c r="AK15" i="15"/>
  <c r="AI58" i="12" s="1"/>
  <c r="AC14" i="15"/>
  <c r="AC15" i="15"/>
  <c r="AA58" i="12" s="1"/>
  <c r="AV14" i="15"/>
  <c r="AV24" i="15" s="1"/>
  <c r="AV15" i="15"/>
  <c r="AN14" i="15"/>
  <c r="AN15" i="15"/>
  <c r="AL58" i="12" s="1"/>
  <c r="AF14" i="15"/>
  <c r="AF15" i="15"/>
  <c r="AD58" i="12" s="1"/>
  <c r="X14" i="15"/>
  <c r="X15" i="15"/>
  <c r="V58" i="12" s="1"/>
  <c r="AM14" i="15"/>
  <c r="AM15" i="15"/>
  <c r="AK58" i="12" s="1"/>
  <c r="AI14" i="15"/>
  <c r="AI15" i="15"/>
  <c r="AG58" i="12" s="1"/>
  <c r="AE14" i="15"/>
  <c r="AE15" i="15"/>
  <c r="AC58" i="12" s="1"/>
  <c r="AA14" i="15"/>
  <c r="AA15" i="15"/>
  <c r="Y58" i="12" s="1"/>
  <c r="W14" i="15"/>
  <c r="W15" i="15"/>
  <c r="U58" i="12" s="1"/>
  <c r="AG14" i="15"/>
  <c r="AG15" i="15"/>
  <c r="AE58" i="12" s="1"/>
  <c r="Y14" i="15"/>
  <c r="Y15" i="15"/>
  <c r="W58" i="12" s="1"/>
  <c r="AJ14" i="15"/>
  <c r="AJ15" i="15"/>
  <c r="AH58" i="12" s="1"/>
  <c r="AB14" i="15"/>
  <c r="AB15" i="15"/>
  <c r="Z58" i="12" s="1"/>
  <c r="AL14" i="15"/>
  <c r="AL15" i="15"/>
  <c r="AJ58" i="12" s="1"/>
  <c r="AH14" i="15"/>
  <c r="AH15" i="15"/>
  <c r="AF58" i="12" s="1"/>
  <c r="AD14" i="15"/>
  <c r="AD15" i="15"/>
  <c r="AB58" i="12" s="1"/>
  <c r="Z14" i="15"/>
  <c r="Z15" i="15"/>
  <c r="X58" i="12" s="1"/>
  <c r="V14" i="15"/>
  <c r="V15" i="15"/>
  <c r="T42" i="12" s="1"/>
  <c r="AM84" i="3"/>
  <c r="AM83" i="3"/>
  <c r="V24" i="15"/>
  <c r="U45" i="15"/>
  <c r="U7" i="15" s="1"/>
  <c r="U8" i="15"/>
  <c r="R40" i="15"/>
  <c r="Q40" i="15" s="1"/>
  <c r="S45" i="15"/>
  <c r="S7" i="15" s="1"/>
  <c r="T45" i="15"/>
  <c r="T7" i="15" s="1"/>
  <c r="T15" i="15" s="1"/>
  <c r="R42" i="12" s="1"/>
  <c r="X198" i="15"/>
  <c r="Y198" i="15"/>
  <c r="Z198" i="15"/>
  <c r="AA198" i="15"/>
  <c r="AB198" i="15"/>
  <c r="AC198" i="15"/>
  <c r="AD198" i="15"/>
  <c r="AE198" i="15"/>
  <c r="AF198" i="15"/>
  <c r="AG198" i="15"/>
  <c r="AH198" i="15"/>
  <c r="AI198" i="15"/>
  <c r="AJ198" i="15"/>
  <c r="AK198" i="15"/>
  <c r="AL198" i="15"/>
  <c r="AM198" i="15"/>
  <c r="AN198" i="15"/>
  <c r="W198" i="15"/>
  <c r="AM197" i="15"/>
  <c r="AK197" i="15"/>
  <c r="X197" i="15"/>
  <c r="Y197" i="15"/>
  <c r="Z197" i="15"/>
  <c r="AA197" i="15"/>
  <c r="AB197" i="15"/>
  <c r="AC197" i="15"/>
  <c r="AD197" i="15"/>
  <c r="AE197" i="15"/>
  <c r="AF197" i="15"/>
  <c r="AG197" i="15"/>
  <c r="AH197" i="15"/>
  <c r="AI197" i="15"/>
  <c r="AJ197" i="15"/>
  <c r="AL197" i="15"/>
  <c r="AN197" i="15"/>
  <c r="W197" i="15"/>
  <c r="Z24" i="15" l="1"/>
  <c r="X59" i="12"/>
  <c r="AH24" i="15"/>
  <c r="AF59" i="12"/>
  <c r="AB24" i="15"/>
  <c r="Z59" i="12"/>
  <c r="Y24" i="15"/>
  <c r="W59" i="12"/>
  <c r="W24" i="15"/>
  <c r="U59" i="12"/>
  <c r="AE24" i="15"/>
  <c r="AC59" i="12"/>
  <c r="AM24" i="15"/>
  <c r="AK59" i="12"/>
  <c r="AF24" i="15"/>
  <c r="AD59" i="12"/>
  <c r="AK24" i="15"/>
  <c r="AI59" i="12"/>
  <c r="U15" i="15"/>
  <c r="S42" i="12" s="1"/>
  <c r="S14" i="15"/>
  <c r="S15" i="15"/>
  <c r="Q42" i="12" s="1"/>
  <c r="T43" i="12"/>
  <c r="AD24" i="15"/>
  <c r="AB59" i="12"/>
  <c r="AL24" i="15"/>
  <c r="AJ59" i="12"/>
  <c r="AJ24" i="15"/>
  <c r="AH59" i="12"/>
  <c r="AG24" i="15"/>
  <c r="AE59" i="12"/>
  <c r="AA24" i="15"/>
  <c r="Y59" i="12"/>
  <c r="AI24" i="15"/>
  <c r="AG59" i="12"/>
  <c r="X24" i="15"/>
  <c r="V59" i="12"/>
  <c r="AN24" i="15"/>
  <c r="AL59" i="12"/>
  <c r="AC24" i="15"/>
  <c r="AA59" i="12"/>
  <c r="T14" i="15"/>
  <c r="U14" i="15"/>
  <c r="R45" i="15"/>
  <c r="R7" i="15" s="1"/>
  <c r="P40" i="15"/>
  <c r="Q45" i="15"/>
  <c r="Q7" i="15" s="1"/>
  <c r="AW76" i="4"/>
  <c r="AT76" i="4"/>
  <c r="AS76" i="4"/>
  <c r="AR76" i="4"/>
  <c r="AQ76" i="4"/>
  <c r="AP76" i="4"/>
  <c r="AO76" i="4"/>
  <c r="AN76" i="4"/>
  <c r="AM76" i="4"/>
  <c r="AA76" i="4"/>
  <c r="Z76" i="4"/>
  <c r="Y76" i="4"/>
  <c r="X76" i="4"/>
  <c r="W76" i="4"/>
  <c r="V76" i="4"/>
  <c r="U76" i="4"/>
  <c r="T76" i="4"/>
  <c r="R76" i="4"/>
  <c r="Q76" i="4"/>
  <c r="P76" i="4"/>
  <c r="O76" i="4"/>
  <c r="N76" i="4"/>
  <c r="M76" i="4"/>
  <c r="L76" i="4"/>
  <c r="K76" i="4"/>
  <c r="J76" i="4"/>
  <c r="I76" i="4"/>
  <c r="H76" i="4"/>
  <c r="G76" i="4"/>
  <c r="F76" i="4"/>
  <c r="E76" i="4"/>
  <c r="D76" i="4"/>
  <c r="C76" i="4"/>
  <c r="B76" i="4"/>
  <c r="AW77" i="4"/>
  <c r="AM77" i="4"/>
  <c r="AN77" i="4"/>
  <c r="AO77" i="4"/>
  <c r="AP77" i="4"/>
  <c r="AQ77" i="4"/>
  <c r="AR77" i="4"/>
  <c r="AS77" i="4"/>
  <c r="AT77" i="4"/>
  <c r="AA77" i="4"/>
  <c r="AW75" i="4"/>
  <c r="AO62" i="3"/>
  <c r="AO61" i="3"/>
  <c r="AO60" i="3"/>
  <c r="AO59" i="3"/>
  <c r="AO58" i="3"/>
  <c r="AO57" i="3"/>
  <c r="AO56" i="3"/>
  <c r="AO55" i="3"/>
  <c r="AY62" i="3"/>
  <c r="AY61" i="3"/>
  <c r="AY59" i="3"/>
  <c r="AY58" i="3"/>
  <c r="AY57" i="3"/>
  <c r="AY56" i="3"/>
  <c r="AY55" i="3"/>
  <c r="AY45" i="3"/>
  <c r="AY60" i="3" s="1"/>
  <c r="AY249" i="15"/>
  <c r="AY246" i="15"/>
  <c r="S24" i="15" l="1"/>
  <c r="Q43" i="12"/>
  <c r="R14" i="15"/>
  <c r="R15" i="15"/>
  <c r="P42" i="12" s="1"/>
  <c r="U24" i="15"/>
  <c r="S43" i="12"/>
  <c r="Q14" i="15"/>
  <c r="Q15" i="15"/>
  <c r="O26" i="12" s="1"/>
  <c r="T24" i="15"/>
  <c r="R43" i="12"/>
  <c r="O40" i="15"/>
  <c r="P45" i="15"/>
  <c r="P7" i="15" s="1"/>
  <c r="AZ61" i="3"/>
  <c r="AZ60" i="3"/>
  <c r="AZ59" i="3"/>
  <c r="AZ58" i="3"/>
  <c r="AZ57" i="3"/>
  <c r="AZ56" i="3"/>
  <c r="AZ55" i="3"/>
  <c r="AW57" i="3"/>
  <c r="AW56" i="3"/>
  <c r="AV57" i="3"/>
  <c r="AV56" i="3"/>
  <c r="AU57" i="3"/>
  <c r="AU56" i="3"/>
  <c r="AT57" i="3"/>
  <c r="AT56"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D57" i="3"/>
  <c r="AH56" i="3"/>
  <c r="AI56" i="3"/>
  <c r="AJ56" i="3"/>
  <c r="AK56" i="3"/>
  <c r="AL56" i="3"/>
  <c r="AM56" i="3"/>
  <c r="AN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E56" i="3"/>
  <c r="F56" i="3"/>
  <c r="D56" i="3"/>
  <c r="AF61" i="3"/>
  <c r="T58" i="3"/>
  <c r="E64" i="3"/>
  <c r="E58" i="3"/>
  <c r="AW58" i="3"/>
  <c r="AV58" i="3"/>
  <c r="AU58" i="3"/>
  <c r="AT58" i="3"/>
  <c r="F58" i="3"/>
  <c r="G58" i="3"/>
  <c r="H58" i="3"/>
  <c r="I58" i="3"/>
  <c r="J58" i="3"/>
  <c r="K58" i="3"/>
  <c r="L58" i="3"/>
  <c r="M58" i="3"/>
  <c r="N58" i="3"/>
  <c r="O58" i="3"/>
  <c r="P58" i="3"/>
  <c r="Q58" i="3"/>
  <c r="R58" i="3"/>
  <c r="S58" i="3"/>
  <c r="U58" i="3"/>
  <c r="V58" i="3"/>
  <c r="W58" i="3"/>
  <c r="X58" i="3"/>
  <c r="Y58" i="3"/>
  <c r="Z58" i="3"/>
  <c r="AA58" i="3"/>
  <c r="AB58" i="3"/>
  <c r="AC58" i="3"/>
  <c r="AD58" i="3"/>
  <c r="AE58" i="3"/>
  <c r="AF58" i="3"/>
  <c r="AG58" i="3"/>
  <c r="AH58" i="3"/>
  <c r="AI58" i="3"/>
  <c r="AJ58" i="3"/>
  <c r="AK58" i="3"/>
  <c r="AL58" i="3"/>
  <c r="AM58" i="3"/>
  <c r="AN58" i="3"/>
  <c r="D58" i="3"/>
  <c r="AW61" i="3"/>
  <c r="AV61" i="3"/>
  <c r="AU61" i="3"/>
  <c r="AT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G61" i="3"/>
  <c r="AH61" i="3"/>
  <c r="AI61" i="3"/>
  <c r="AJ61" i="3"/>
  <c r="AK61" i="3"/>
  <c r="AL61" i="3"/>
  <c r="AM61" i="3"/>
  <c r="AN61" i="3"/>
  <c r="D61" i="3"/>
  <c r="AW59" i="3"/>
  <c r="AV59" i="3"/>
  <c r="AU59" i="3"/>
  <c r="AT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D59" i="3"/>
  <c r="AW55" i="3"/>
  <c r="AV55" i="3"/>
  <c r="AU55" i="3"/>
  <c r="AT55" i="3"/>
  <c r="E55" i="3"/>
  <c r="F55" i="3"/>
  <c r="G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D55" i="3"/>
  <c r="AU60" i="3"/>
  <c r="AV60" i="3"/>
  <c r="AW60" i="3"/>
  <c r="AT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D60" i="3"/>
  <c r="Q24" i="15" l="1"/>
  <c r="O27" i="12"/>
  <c r="R24" i="15"/>
  <c r="P43" i="12"/>
  <c r="P14" i="15"/>
  <c r="P15" i="15"/>
  <c r="N26" i="12" s="1"/>
  <c r="N40" i="15"/>
  <c r="O45" i="15"/>
  <c r="O7" i="15" s="1"/>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AW64" i="3"/>
  <c r="AV64" i="3"/>
  <c r="AU64" i="3"/>
  <c r="AV62" i="3"/>
  <c r="AW62" i="3"/>
  <c r="AT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D62" i="3"/>
  <c r="O14" i="15" l="1"/>
  <c r="O15" i="15"/>
  <c r="M26" i="12" s="1"/>
  <c r="P24" i="15"/>
  <c r="N27" i="12"/>
  <c r="M40" i="15"/>
  <c r="N45" i="15"/>
  <c r="N7" i="15" s="1"/>
  <c r="C77" i="4"/>
  <c r="B77" i="4"/>
  <c r="B75" i="4"/>
  <c r="N14" i="15" l="1"/>
  <c r="N15" i="15"/>
  <c r="L26" i="12" s="1"/>
  <c r="O24" i="15"/>
  <c r="M27" i="12"/>
  <c r="L40" i="15"/>
  <c r="M45" i="15"/>
  <c r="M7" i="15" s="1"/>
  <c r="C75" i="4"/>
  <c r="M14" i="15" l="1"/>
  <c r="M15" i="15"/>
  <c r="K26" i="12" s="1"/>
  <c r="N24" i="15"/>
  <c r="L27" i="12"/>
  <c r="K40" i="15"/>
  <c r="L45" i="15"/>
  <c r="L7" i="15" s="1"/>
  <c r="L14" i="15" l="1"/>
  <c r="L15" i="15"/>
  <c r="J10" i="12" s="1"/>
  <c r="M24" i="15"/>
  <c r="K27" i="12"/>
  <c r="J40" i="15"/>
  <c r="K45" i="15"/>
  <c r="K7" i="15" s="1"/>
  <c r="K14" i="15" l="1"/>
  <c r="K15" i="15"/>
  <c r="I10" i="12" s="1"/>
  <c r="L24" i="15"/>
  <c r="J11" i="12"/>
  <c r="I40" i="15"/>
  <c r="J45" i="15"/>
  <c r="J7" i="15" s="1"/>
  <c r="F73" i="5"/>
  <c r="J14" i="15" l="1"/>
  <c r="J15" i="15"/>
  <c r="H10" i="12" s="1"/>
  <c r="K24" i="15"/>
  <c r="I11" i="12"/>
  <c r="H40" i="15"/>
  <c r="I45" i="15"/>
  <c r="I7" i="15" s="1"/>
  <c r="AL53" i="4"/>
  <c r="AL76" i="4" s="1"/>
  <c r="AK53" i="4"/>
  <c r="AK76" i="4" s="1"/>
  <c r="AJ53" i="4"/>
  <c r="AJ76" i="4" s="1"/>
  <c r="AI53" i="4"/>
  <c r="AI76" i="4" s="1"/>
  <c r="AH53" i="4"/>
  <c r="AH76" i="4" s="1"/>
  <c r="AG53" i="4"/>
  <c r="AG76" i="4" s="1"/>
  <c r="AF53" i="4"/>
  <c r="AF76" i="4" s="1"/>
  <c r="AE53" i="4"/>
  <c r="AE76" i="4" s="1"/>
  <c r="AD53" i="4"/>
  <c r="AD76" i="4" s="1"/>
  <c r="AC53" i="4"/>
  <c r="AC76" i="4" s="1"/>
  <c r="AB53" i="4"/>
  <c r="AB76" i="4" s="1"/>
  <c r="I14" i="15" l="1"/>
  <c r="I15" i="15"/>
  <c r="G10" i="12" s="1"/>
  <c r="J24" i="15"/>
  <c r="H11" i="12"/>
  <c r="G40" i="15"/>
  <c r="H45" i="15"/>
  <c r="H7" i="15" s="1"/>
  <c r="AA75" i="4"/>
  <c r="H14" i="15" l="1"/>
  <c r="H15" i="15"/>
  <c r="F10" i="12" s="1"/>
  <c r="I24" i="15"/>
  <c r="G11" i="12"/>
  <c r="F40" i="15"/>
  <c r="G45" i="15"/>
  <c r="G7" i="15" s="1"/>
  <c r="R33" i="4"/>
  <c r="R75" i="4" s="1"/>
  <c r="AM75" i="4"/>
  <c r="AN75" i="4"/>
  <c r="AO75" i="4"/>
  <c r="AP75" i="4"/>
  <c r="AQ75" i="4"/>
  <c r="AT75" i="4"/>
  <c r="AS75" i="4"/>
  <c r="AR75" i="4"/>
  <c r="D75" i="4"/>
  <c r="E75" i="4"/>
  <c r="F75" i="4"/>
  <c r="G75" i="4"/>
  <c r="H75" i="4"/>
  <c r="I75" i="4"/>
  <c r="J75" i="4"/>
  <c r="K75" i="4"/>
  <c r="L75" i="4"/>
  <c r="M75" i="4"/>
  <c r="N75" i="4"/>
  <c r="O75" i="4"/>
  <c r="P75" i="4"/>
  <c r="Q75" i="4"/>
  <c r="S75" i="4"/>
  <c r="T75" i="4"/>
  <c r="U75" i="4"/>
  <c r="V75" i="4"/>
  <c r="W75" i="4"/>
  <c r="X75" i="4"/>
  <c r="Y75" i="4"/>
  <c r="Z75" i="4"/>
  <c r="S70" i="4"/>
  <c r="S76" i="4" s="1"/>
  <c r="G14" i="15" l="1"/>
  <c r="G15" i="15"/>
  <c r="E10" i="12" s="1"/>
  <c r="H24" i="15"/>
  <c r="F11" i="12"/>
  <c r="E40" i="15"/>
  <c r="F45" i="15"/>
  <c r="F7" i="15" s="1"/>
  <c r="F14" i="15" l="1"/>
  <c r="F15" i="15"/>
  <c r="D10" i="12" s="1"/>
  <c r="G24" i="15"/>
  <c r="E11" i="12"/>
  <c r="E45" i="15"/>
  <c r="E7" i="15" s="1"/>
  <c r="D40" i="15"/>
  <c r="D45" i="15" s="1"/>
  <c r="D7" i="15" s="1"/>
  <c r="D14" i="15" l="1"/>
  <c r="D15" i="15"/>
  <c r="B10" i="12" s="1"/>
  <c r="E14" i="15"/>
  <c r="E15" i="15"/>
  <c r="C10" i="12" s="1"/>
  <c r="F24" i="15"/>
  <c r="D11" i="12"/>
  <c r="B4" i="14"/>
  <c r="C4" i="14"/>
  <c r="F4" i="14"/>
  <c r="G4" i="14"/>
  <c r="B5" i="14"/>
  <c r="C5" i="14"/>
  <c r="F5" i="14"/>
  <c r="G5" i="14"/>
  <c r="B6" i="14"/>
  <c r="C6" i="14"/>
  <c r="F6" i="14"/>
  <c r="G6" i="14"/>
  <c r="B7" i="14"/>
  <c r="C7" i="14"/>
  <c r="F7" i="14"/>
  <c r="G7" i="14"/>
  <c r="E24" i="15" l="1"/>
  <c r="C11" i="12"/>
  <c r="D24" i="15"/>
  <c r="B11" i="12"/>
  <c r="AM64" i="3"/>
  <c r="B5" i="12" l="1"/>
  <c r="B7" i="12" s="1"/>
  <c r="B8" i="12" s="1"/>
  <c r="AK53" i="12"/>
  <c r="AK55" i="12" s="1"/>
  <c r="AK56" i="12" s="1"/>
  <c r="AJ53" i="12"/>
  <c r="AJ55" i="12" s="1"/>
  <c r="AJ56" i="12" s="1"/>
  <c r="D5" i="12"/>
  <c r="D7" i="12" s="1"/>
  <c r="D8" i="12" s="1"/>
  <c r="E5" i="12"/>
  <c r="E7" i="12" s="1"/>
  <c r="E8" i="12" s="1"/>
  <c r="F5" i="12"/>
  <c r="F7" i="12" s="1"/>
  <c r="F8" i="12" s="1"/>
  <c r="G5" i="12"/>
  <c r="G7" i="12" s="1"/>
  <c r="G8" i="12" s="1"/>
  <c r="H5" i="12"/>
  <c r="H7" i="12" s="1"/>
  <c r="H8" i="12" s="1"/>
  <c r="I5" i="12"/>
  <c r="I7" i="12" s="1"/>
  <c r="I8" i="12" s="1"/>
  <c r="J5" i="12"/>
  <c r="J7" i="12" s="1"/>
  <c r="J8" i="12" s="1"/>
  <c r="K21" i="12"/>
  <c r="K23" i="12" s="1"/>
  <c r="K24" i="12" s="1"/>
  <c r="L21" i="12"/>
  <c r="L23" i="12" s="1"/>
  <c r="L24" i="12" s="1"/>
  <c r="M21" i="12"/>
  <c r="M23" i="12" s="1"/>
  <c r="M24" i="12" s="1"/>
  <c r="N21" i="12"/>
  <c r="N23" i="12" s="1"/>
  <c r="N24" i="12" s="1"/>
  <c r="O21" i="12"/>
  <c r="O23" i="12" s="1"/>
  <c r="O24" i="12" s="1"/>
  <c r="P37" i="12"/>
  <c r="P39" i="12" s="1"/>
  <c r="P40" i="12" s="1"/>
  <c r="Q37" i="12"/>
  <c r="Q39" i="12" s="1"/>
  <c r="Q40" i="12" s="1"/>
  <c r="R37" i="12"/>
  <c r="R39" i="12" s="1"/>
  <c r="R40" i="12" s="1"/>
  <c r="S37" i="12"/>
  <c r="S39" i="12" s="1"/>
  <c r="S40" i="12" s="1"/>
  <c r="T37" i="12"/>
  <c r="T39" i="12" s="1"/>
  <c r="T40" i="12" s="1"/>
  <c r="U53" i="12"/>
  <c r="U55" i="12" s="1"/>
  <c r="U56" i="12" s="1"/>
  <c r="V53" i="12"/>
  <c r="V55" i="12" s="1"/>
  <c r="V56" i="12" s="1"/>
  <c r="W53" i="12"/>
  <c r="W55" i="12" s="1"/>
  <c r="W56" i="12" s="1"/>
  <c r="X53" i="12"/>
  <c r="X55" i="12" s="1"/>
  <c r="X56" i="12" s="1"/>
  <c r="Y53" i="12"/>
  <c r="Y55" i="12" s="1"/>
  <c r="Y56" i="12" s="1"/>
  <c r="Z53" i="12"/>
  <c r="Z55" i="12" s="1"/>
  <c r="Z56" i="12" s="1"/>
  <c r="AA53" i="12"/>
  <c r="AA55" i="12" s="1"/>
  <c r="AA56" i="12" s="1"/>
  <c r="AB53" i="12"/>
  <c r="AB55" i="12" s="1"/>
  <c r="AB56" i="12" s="1"/>
  <c r="AC53" i="12"/>
  <c r="AC55" i="12" s="1"/>
  <c r="AC56" i="12" s="1"/>
  <c r="AD53" i="12"/>
  <c r="AD55" i="12" s="1"/>
  <c r="AD56" i="12" s="1"/>
  <c r="AE53" i="12"/>
  <c r="AE55" i="12" s="1"/>
  <c r="AE56" i="12" s="1"/>
  <c r="AF53" i="12"/>
  <c r="AF55" i="12" s="1"/>
  <c r="AF56" i="12" s="1"/>
  <c r="AG53" i="12"/>
  <c r="AG55" i="12" s="1"/>
  <c r="AG56" i="12" s="1"/>
  <c r="AH53" i="12"/>
  <c r="AH55" i="12" s="1"/>
  <c r="AH56" i="12" s="1"/>
  <c r="AI53" i="12"/>
  <c r="AI55" i="12" s="1"/>
  <c r="AI56" i="12" s="1"/>
  <c r="AL53" i="12"/>
  <c r="AL55" i="12" s="1"/>
  <c r="AL56" i="12" s="1"/>
  <c r="C5" i="12"/>
  <c r="C7" i="12" s="1"/>
  <c r="C8" i="12" s="1"/>
  <c r="E15" i="12" l="1"/>
  <c r="S46" i="12"/>
  <c r="S48" i="12"/>
  <c r="S47" i="12"/>
  <c r="R46" i="12"/>
  <c r="R48" i="12"/>
  <c r="R47" i="12"/>
  <c r="Q45" i="12"/>
  <c r="Q48" i="12"/>
  <c r="Q47" i="12"/>
  <c r="T46" i="12"/>
  <c r="T48" i="12"/>
  <c r="T47" i="12"/>
  <c r="P45" i="12"/>
  <c r="P47" i="12"/>
  <c r="P48" i="12"/>
  <c r="Z63" i="12"/>
  <c r="W63" i="12"/>
  <c r="O29" i="12"/>
  <c r="O30" i="12"/>
  <c r="O31" i="12"/>
  <c r="AI63" i="12"/>
  <c r="AE63" i="12"/>
  <c r="I15" i="12"/>
  <c r="N31" i="12"/>
  <c r="AL63" i="12"/>
  <c r="AH63" i="12"/>
  <c r="Y63" i="12"/>
  <c r="J15" i="12"/>
  <c r="F15" i="12"/>
  <c r="K31" i="12"/>
  <c r="U63" i="12"/>
  <c r="G15" i="12"/>
  <c r="M31" i="12"/>
  <c r="AK63" i="12"/>
  <c r="AG63" i="12"/>
  <c r="AC63" i="12"/>
  <c r="AD63" i="12"/>
  <c r="V63" i="12"/>
  <c r="C15" i="12"/>
  <c r="H15" i="12"/>
  <c r="D15" i="12"/>
  <c r="L31" i="12"/>
  <c r="AJ63" i="12"/>
  <c r="AF63" i="12"/>
  <c r="X63" i="12"/>
  <c r="AI62" i="12"/>
  <c r="M30" i="12"/>
  <c r="W62" i="12"/>
  <c r="AA62" i="12"/>
  <c r="AE62" i="12"/>
  <c r="AH62" i="12"/>
  <c r="L30" i="12"/>
  <c r="X62" i="12"/>
  <c r="AB62" i="12"/>
  <c r="AF62" i="12"/>
  <c r="AG62" i="12"/>
  <c r="R45" i="12"/>
  <c r="U62" i="12"/>
  <c r="Y62" i="12"/>
  <c r="AC62" i="12"/>
  <c r="AJ62" i="12"/>
  <c r="AK62" i="12"/>
  <c r="N30" i="12"/>
  <c r="V62" i="12"/>
  <c r="Z62" i="12"/>
  <c r="AD62" i="12"/>
  <c r="Q46" i="12"/>
  <c r="T45" i="12"/>
  <c r="P46" i="12"/>
  <c r="AL62" i="12"/>
  <c r="S45" i="12"/>
  <c r="AG61" i="12"/>
  <c r="AI61" i="12"/>
  <c r="AE61" i="12"/>
  <c r="W61" i="12"/>
  <c r="AJ61" i="12"/>
  <c r="AL61" i="12"/>
  <c r="AH61" i="12"/>
  <c r="AD61" i="12"/>
  <c r="V61" i="12"/>
  <c r="AC61" i="12"/>
  <c r="Y61" i="12"/>
  <c r="U61" i="12"/>
  <c r="N29" i="12"/>
  <c r="Z61" i="12"/>
  <c r="AF61" i="12"/>
  <c r="AB61" i="12"/>
  <c r="X61" i="12"/>
  <c r="M29" i="12"/>
  <c r="L29" i="12"/>
  <c r="K30" i="12"/>
  <c r="F70" i="3"/>
  <c r="G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N70" i="3"/>
  <c r="E70" i="3"/>
  <c r="I67" i="3"/>
  <c r="I70" i="3" s="1"/>
  <c r="H67" i="3"/>
  <c r="H70" i="3" s="1"/>
  <c r="F64" i="3"/>
  <c r="G64" i="3"/>
  <c r="H64" i="3"/>
  <c r="I64" i="3"/>
  <c r="J64" i="3"/>
  <c r="K64" i="3"/>
  <c r="L64" i="3"/>
  <c r="M64" i="3"/>
  <c r="N64" i="3"/>
  <c r="O64" i="3"/>
  <c r="P64" i="3"/>
  <c r="Q64" i="3"/>
  <c r="R64" i="3"/>
  <c r="S64" i="3"/>
  <c r="T64" i="3"/>
  <c r="U64" i="3"/>
  <c r="X64" i="3"/>
  <c r="Y64" i="3"/>
  <c r="Z64" i="3"/>
  <c r="AA64" i="3"/>
  <c r="AB64" i="3"/>
  <c r="AC64" i="3"/>
  <c r="AD64" i="3"/>
  <c r="AE64" i="3"/>
  <c r="AF64" i="3"/>
  <c r="AG64" i="3"/>
  <c r="AH64" i="3"/>
  <c r="AI64" i="3"/>
  <c r="AJ64" i="3"/>
  <c r="AK64" i="3"/>
  <c r="AL64" i="3"/>
  <c r="AN64" i="3"/>
  <c r="W64" i="3"/>
  <c r="V64" i="3"/>
  <c r="O32" i="12" l="1"/>
  <c r="K29" i="12"/>
  <c r="Z64" i="12"/>
  <c r="Y64" i="12"/>
  <c r="AE64" i="12"/>
  <c r="AC64" i="12"/>
  <c r="AJ64" i="12"/>
  <c r="AK64" i="12"/>
  <c r="AK61" i="12"/>
  <c r="AH64" i="12"/>
  <c r="AG64" i="12"/>
  <c r="W64" i="12"/>
  <c r="AL64" i="12"/>
  <c r="U64" i="12"/>
  <c r="AI64" i="12"/>
  <c r="AF64" i="12"/>
  <c r="N32" i="12"/>
  <c r="V64" i="12"/>
  <c r="X64" i="12"/>
  <c r="M32" i="12"/>
  <c r="AD64" i="12"/>
  <c r="D6" i="9"/>
  <c r="D5" i="9"/>
  <c r="D4" i="9"/>
  <c r="AL9" i="4"/>
  <c r="AK9" i="4"/>
  <c r="AJ9" i="4"/>
  <c r="AI9" i="4"/>
  <c r="AH9" i="4"/>
  <c r="AG9" i="4"/>
  <c r="AF9" i="4"/>
  <c r="AE9" i="4"/>
  <c r="AD9" i="4"/>
  <c r="AC9" i="4"/>
  <c r="AB9" i="4"/>
  <c r="AF75" i="4" l="1"/>
  <c r="AF77" i="4"/>
  <c r="AE75" i="4"/>
  <c r="AE77" i="4"/>
  <c r="AB75" i="4"/>
  <c r="AB77" i="4"/>
  <c r="AC75" i="4"/>
  <c r="AC77" i="4"/>
  <c r="AG75" i="4"/>
  <c r="AG77" i="4"/>
  <c r="AK75" i="4"/>
  <c r="AK77" i="4"/>
  <c r="AI75" i="4"/>
  <c r="AI77" i="4"/>
  <c r="AJ75" i="4"/>
  <c r="AJ77" i="4"/>
  <c r="AD75" i="4"/>
  <c r="AD77" i="4"/>
  <c r="AH75" i="4"/>
  <c r="AH77" i="4"/>
  <c r="AL75" i="4"/>
  <c r="AL77" i="4"/>
  <c r="L32" i="12"/>
  <c r="C13" i="12" l="1"/>
  <c r="G14" i="12"/>
  <c r="E14" i="12"/>
  <c r="AA63" i="12"/>
  <c r="AB63" i="12"/>
  <c r="C14" i="12" l="1"/>
  <c r="G13" i="12"/>
  <c r="C16" i="12"/>
  <c r="D16" i="12"/>
  <c r="E13" i="12"/>
  <c r="G16" i="12"/>
  <c r="E16" i="12"/>
  <c r="D14" i="12"/>
  <c r="D13" i="12"/>
  <c r="F16" i="12"/>
  <c r="F13" i="12"/>
  <c r="F14" i="12"/>
  <c r="B13" i="12"/>
  <c r="B14" i="12"/>
  <c r="AA61" i="12"/>
  <c r="AB64" i="12"/>
  <c r="AA64" i="12"/>
  <c r="H14" i="12"/>
  <c r="H13" i="12"/>
  <c r="H16" i="12"/>
  <c r="I13" i="12"/>
  <c r="I16" i="12"/>
  <c r="I14" i="12"/>
  <c r="J13" i="12"/>
  <c r="J14" i="12"/>
  <c r="J16" i="12"/>
  <c r="K32" i="12"/>
  <c r="D77" i="4"/>
  <c r="E77" i="4"/>
  <c r="F77" i="4"/>
  <c r="G77" i="4"/>
  <c r="H77" i="4"/>
  <c r="I77" i="4"/>
  <c r="J77" i="4"/>
  <c r="K77" i="4"/>
  <c r="L77" i="4"/>
  <c r="M77" i="4"/>
  <c r="N77" i="4"/>
  <c r="O77" i="4"/>
  <c r="P77" i="4"/>
  <c r="Q77" i="4"/>
  <c r="R77" i="4"/>
  <c r="S77" i="4"/>
  <c r="T77" i="4"/>
  <c r="U77" i="4"/>
  <c r="V77" i="4"/>
  <c r="W77" i="4"/>
  <c r="X77" i="4"/>
  <c r="Y77" i="4"/>
  <c r="Z77" i="4"/>
  <c r="H6" i="3"/>
  <c r="H55" i="3" s="1"/>
</calcChain>
</file>

<file path=xl/sharedStrings.xml><?xml version="1.0" encoding="utf-8"?>
<sst xmlns="http://schemas.openxmlformats.org/spreadsheetml/2006/main" count="2084" uniqueCount="739">
  <si>
    <t>Total</t>
  </si>
  <si>
    <t>June 30</t>
  </si>
  <si>
    <t>Issued</t>
  </si>
  <si>
    <t>Silver pesos</t>
  </si>
  <si>
    <t xml:space="preserve">Minor coins </t>
  </si>
  <si>
    <t>Minor coins</t>
  </si>
  <si>
    <t xml:space="preserve">Coins estimated destroyed, unknown </t>
  </si>
  <si>
    <t>Resources</t>
  </si>
  <si>
    <t>Due from other banks, head office, branches, and agents</t>
  </si>
  <si>
    <t xml:space="preserve">Bills of exchange </t>
  </si>
  <si>
    <t>Cash on hand and other cash items</t>
  </si>
  <si>
    <t>Profit and loss account</t>
  </si>
  <si>
    <t>Other resources</t>
  </si>
  <si>
    <t>Liabilities</t>
  </si>
  <si>
    <t>Bank notes in circulation</t>
  </si>
  <si>
    <t>Dividends due and unpaid</t>
  </si>
  <si>
    <t>Current accounts</t>
  </si>
  <si>
    <t>Bills payable:</t>
  </si>
  <si>
    <t>Suspense account</t>
  </si>
  <si>
    <t xml:space="preserve">Other liabilities </t>
  </si>
  <si>
    <t>Philippine banks, aggregate balance sheet</t>
  </si>
  <si>
    <t>Philippine currency</t>
  </si>
  <si>
    <t>Add: Philippine National Bank emergency notes</t>
  </si>
  <si>
    <t>Philippine pesos</t>
  </si>
  <si>
    <t>December 31</t>
  </si>
  <si>
    <t>Consistency check (should be zero)</t>
  </si>
  <si>
    <t/>
  </si>
  <si>
    <t>Held as reserve against circulating bank notes</t>
  </si>
  <si>
    <t xml:space="preserve">Estimated destroyed, unknown </t>
  </si>
  <si>
    <t>Philippine government budget balance</t>
  </si>
  <si>
    <t>Budget Balance</t>
  </si>
  <si>
    <t>Data source</t>
  </si>
  <si>
    <t>Year</t>
  </si>
  <si>
    <t>United States currency</t>
  </si>
  <si>
    <t>Fund in New York</t>
  </si>
  <si>
    <t>Total (Philippine pesos)</t>
  </si>
  <si>
    <t>Figures in red are calculations, not original data</t>
  </si>
  <si>
    <t>Current assets</t>
  </si>
  <si>
    <t>Accrued interest receivable</t>
  </si>
  <si>
    <t>Total assets</t>
  </si>
  <si>
    <t>Current liabilities</t>
  </si>
  <si>
    <t>Net balance (net worth)</t>
  </si>
  <si>
    <t>Consistency check 2 (should be zero)</t>
  </si>
  <si>
    <t>Treasurer's Report (1924: 46)</t>
  </si>
  <si>
    <t>Treasurer's Report (1924: 47)</t>
  </si>
  <si>
    <t>Assets</t>
  </si>
  <si>
    <t>Treasurer's Report (1924: 52-53)</t>
  </si>
  <si>
    <t>Currency funds</t>
  </si>
  <si>
    <t>Bank Notes</t>
  </si>
  <si>
    <t>Treasury Certifcates</t>
  </si>
  <si>
    <t>Gold Standard Fund</t>
  </si>
  <si>
    <t>Treasury Certificates</t>
  </si>
  <si>
    <t>Size Percentage</t>
  </si>
  <si>
    <t>Price of Dollar Exchange in Manilla</t>
  </si>
  <si>
    <t>Month and Year</t>
  </si>
  <si>
    <t>Percentage Change:</t>
  </si>
  <si>
    <t>Reserves:</t>
  </si>
  <si>
    <t>Certificates:</t>
  </si>
  <si>
    <t>Pesos:</t>
  </si>
  <si>
    <t>Total:</t>
  </si>
  <si>
    <t>Notes:</t>
  </si>
  <si>
    <t>Due From San Francisco Mint</t>
  </si>
  <si>
    <t>Net Foreign Assets:</t>
  </si>
  <si>
    <t>Sheet</t>
  </si>
  <si>
    <t>Description</t>
  </si>
  <si>
    <t>Sources</t>
  </si>
  <si>
    <t>This sheet</t>
  </si>
  <si>
    <t>Authorship</t>
  </si>
  <si>
    <t>This workbook is part of the following working paper:</t>
  </si>
  <si>
    <t>Currency Board Working Paper, Studies in Applied Economics Series, Institute for Applied Economics, Global Health, and Business Enterprise, Johns Hopkins University, Baltimore</t>
  </si>
  <si>
    <t>http://krieger.jhu.edu/iae/economics/</t>
  </si>
  <si>
    <t>Currency Graph</t>
  </si>
  <si>
    <t>Banking Data</t>
  </si>
  <si>
    <t>Annual Currency Data</t>
  </si>
  <si>
    <t>Currency Funds</t>
  </si>
  <si>
    <t xml:space="preserve">Total net circulation: </t>
  </si>
  <si>
    <t>Year:</t>
  </si>
  <si>
    <t>Silver in Philippine Coins (measured in grains):</t>
  </si>
  <si>
    <t>Gold/Silver Price Ratio (ounces of silver per ounce of gold):</t>
  </si>
  <si>
    <t>Worth of Silver in Pesos:</t>
  </si>
  <si>
    <t>Gold Standard Fund Expected:</t>
  </si>
  <si>
    <t>Gold Standard Fund Actual:</t>
  </si>
  <si>
    <t>Net Domesic Assets:</t>
  </si>
  <si>
    <t>Gold Standard and Treasury Fund Expected:</t>
  </si>
  <si>
    <t>Gold Standard and Treasury Fund Actual:</t>
  </si>
  <si>
    <t>Treasury Certificate Fund Expected:</t>
  </si>
  <si>
    <t>Treasury Certificate Fund Actual:</t>
  </si>
  <si>
    <t>Gold Standard Fund and Silver Certificate Fund</t>
  </si>
  <si>
    <t>Treasury Certificate Fund (determine net assets)</t>
  </si>
  <si>
    <t>Change in Monetary Base/Change in Foreign Assets:</t>
  </si>
  <si>
    <t>Net Domestic Assets/Monetary Base:</t>
  </si>
  <si>
    <t>Net Foreign Assets/Monetary Base:</t>
  </si>
  <si>
    <t>Currency Board Analysis</t>
  </si>
  <si>
    <t>Reserve Pass Through:</t>
  </si>
  <si>
    <t xml:space="preserve">Currency in Circulation </t>
  </si>
  <si>
    <t>Cover</t>
  </si>
  <si>
    <t>Data may be reproduced provided the source is acknowledged and no fee is charged</t>
  </si>
  <si>
    <t>Copyright 2017 by Ryan Freedman</t>
  </si>
  <si>
    <t>Remarks</t>
  </si>
  <si>
    <t>Currency</t>
  </si>
  <si>
    <t>Pesos</t>
  </si>
  <si>
    <t>Dollars</t>
  </si>
  <si>
    <t>Loans</t>
  </si>
  <si>
    <t>Gold Standard Fund and Silver Certificate Fund Expected:</t>
  </si>
  <si>
    <t>Gold Standard Fund and Silver Certificate Fund Actual:</t>
  </si>
  <si>
    <t>Loans Graph</t>
  </si>
  <si>
    <t>Addendum</t>
  </si>
  <si>
    <t>Philippine currency in circulation</t>
  </si>
  <si>
    <t>Loans to provinces and municipalities</t>
  </si>
  <si>
    <t>Loans to central government</t>
  </si>
  <si>
    <t>Loans to Manila Railroad Company</t>
  </si>
  <si>
    <t>Interest accrued on provincial and municipal loans</t>
  </si>
  <si>
    <t>Interest accrued on central government loans</t>
  </si>
  <si>
    <t>Interest accrued on Manila Railroad Company loans</t>
  </si>
  <si>
    <t>Treasury certificates redeemable</t>
  </si>
  <si>
    <t>Total liabilities</t>
  </si>
  <si>
    <r>
      <t xml:space="preserve">Less outstanding warranties </t>
    </r>
    <r>
      <rPr>
        <sz val="11"/>
        <color rgb="FFFF0000"/>
        <rFont val="Calibri"/>
        <family val="2"/>
        <scheme val="minor"/>
      </rPr>
      <t>[negative]</t>
    </r>
  </si>
  <si>
    <r>
      <t xml:space="preserve">Accounts payable </t>
    </r>
    <r>
      <rPr>
        <sz val="11"/>
        <color rgb="FFFF0000"/>
        <rFont val="Calibri"/>
        <family val="2"/>
        <scheme val="minor"/>
      </rPr>
      <t>[negative]</t>
    </r>
  </si>
  <si>
    <t>Cash in Treasury and other depositories</t>
  </si>
  <si>
    <t>Net receipts</t>
  </si>
  <si>
    <t>Consistency check 1 (should be zero)</t>
  </si>
  <si>
    <t>Certificates of indebtedness</t>
  </si>
  <si>
    <t>Accrued intrest payable</t>
  </si>
  <si>
    <t>Due from U.S. Mint</t>
  </si>
  <si>
    <t>Due from Philippine Mint</t>
  </si>
  <si>
    <t>Net worth</t>
  </si>
  <si>
    <t>Accounts receivable: service income</t>
  </si>
  <si>
    <t>Accrued interest on bank deposits</t>
  </si>
  <si>
    <t xml:space="preserve">Memo items: </t>
  </si>
  <si>
    <r>
      <t xml:space="preserve">Currency Reserve Fund deposits with Philippine National Bank in New York </t>
    </r>
    <r>
      <rPr>
        <sz val="11"/>
        <color rgb="FFFF0000"/>
        <rFont val="Calibri"/>
        <family val="2"/>
        <scheme val="minor"/>
      </rPr>
      <t>(converted from dollars)</t>
    </r>
  </si>
  <si>
    <r>
      <t xml:space="preserve">Less outstanding warrants and accounts payable </t>
    </r>
    <r>
      <rPr>
        <sz val="11"/>
        <color rgb="FFFF0000"/>
        <rFont val="Calibri"/>
        <family val="2"/>
        <scheme val="minor"/>
      </rPr>
      <t>[negative]</t>
    </r>
  </si>
  <si>
    <t>Fund in Manila</t>
  </si>
  <si>
    <t>Loans: provincial and municipal</t>
  </si>
  <si>
    <t>Other Philippine currency assets</t>
  </si>
  <si>
    <t>Spanish-Filipino and Mexican coins, cost value</t>
  </si>
  <si>
    <t>Sundry accounts</t>
  </si>
  <si>
    <t>Cash in the Treasury and depositories (later Treasury and other depositories)</t>
  </si>
  <si>
    <t>Cash in the hands of other officers</t>
  </si>
  <si>
    <t>Accrued interest, not due</t>
  </si>
  <si>
    <t>Insturance charges refundable</t>
  </si>
  <si>
    <t>Mexican and Spanish-Filipino currency in [Philippine] Treasury</t>
  </si>
  <si>
    <t>Customers' liabilities</t>
  </si>
  <si>
    <t>June 30 (December 31 also available in source)</t>
  </si>
  <si>
    <t>Apparent error in original</t>
  </si>
  <si>
    <t>Time and savings deposits:</t>
  </si>
  <si>
    <t xml:space="preserve">   Domestic</t>
  </si>
  <si>
    <t xml:space="preserve">   Foreign </t>
  </si>
  <si>
    <t xml:space="preserve">   Cashiers' checks outstanding</t>
  </si>
  <si>
    <t xml:space="preserve">   Certified checks</t>
  </si>
  <si>
    <t xml:space="preserve">   Time deposits</t>
  </si>
  <si>
    <t xml:space="preserve">   Savings deposits</t>
  </si>
  <si>
    <t xml:space="preserve">Consistency check 3 (should be zero) </t>
  </si>
  <si>
    <t xml:space="preserve">Consistency check 1 (should be zero) </t>
  </si>
  <si>
    <t xml:space="preserve">Consistency check 2 (should be zero) </t>
  </si>
  <si>
    <t>January 5, 1946</t>
  </si>
  <si>
    <t>Deposits of public funds</t>
  </si>
  <si>
    <t>Due from other banks  (in the Philipines)</t>
  </si>
  <si>
    <t>Due to other banks (in the Philippines)</t>
  </si>
  <si>
    <t xml:space="preserve">   Cash on hand  </t>
  </si>
  <si>
    <t xml:space="preserve">   Checks and other cash items</t>
  </si>
  <si>
    <t>Stocks, securities, etc. (later Investments)</t>
  </si>
  <si>
    <t>Amount not given, but up 55.6 million pesos from 1947</t>
  </si>
  <si>
    <t>Amount not given, but up 11.2 million pesos from 1947</t>
  </si>
  <si>
    <t>1942-44: Japanese occupation &amp; US reconquest; official data sparse</t>
  </si>
  <si>
    <t>Cash, national Treasury</t>
  </si>
  <si>
    <t>Cash, U.S. Treasury, demand deposit</t>
  </si>
  <si>
    <t>Gold bars on deposit at San Franciso Mint</t>
  </si>
  <si>
    <t>Cash, Chase National Bank demand deposit</t>
  </si>
  <si>
    <t>Cash, Philipppine National Bank New York</t>
  </si>
  <si>
    <t>Cash advance, Bureau of Public Works</t>
  </si>
  <si>
    <t>Mint materials: Treasury vaults</t>
  </si>
  <si>
    <t>Mint materials: Denver Mint</t>
  </si>
  <si>
    <t>Sales stock, MacArthur commemorative coins</t>
  </si>
  <si>
    <t>Accounts receivable</t>
  </si>
  <si>
    <t>Valut and incinerator</t>
  </si>
  <si>
    <t>Equipment</t>
  </si>
  <si>
    <t>Payable to national bureaus and offices</t>
  </si>
  <si>
    <t>Payable to Government Service Insurance System</t>
  </si>
  <si>
    <t>Payable to provinces, cities and municipalities</t>
  </si>
  <si>
    <t>Miscellaneous accounts payable</t>
  </si>
  <si>
    <t>Interest on investment due sinking fund</t>
  </si>
  <si>
    <t>Warrants payable</t>
  </si>
  <si>
    <t>Undistributed collections</t>
  </si>
  <si>
    <t>Deferred credits to income</t>
  </si>
  <si>
    <t>Reserve</t>
  </si>
  <si>
    <t>Principal account surplus</t>
  </si>
  <si>
    <t>Silver half-pesos</t>
  </si>
  <si>
    <t>Loans, discounts, and overdrafts</t>
  </si>
  <si>
    <t xml:space="preserve">   Loans and discounts</t>
  </si>
  <si>
    <t xml:space="preserve">   Overdrafts</t>
  </si>
  <si>
    <t>Cashiers' checks and certified checks outstanding:</t>
  </si>
  <si>
    <t>Acceptances</t>
  </si>
  <si>
    <t>November 1</t>
  </si>
  <si>
    <t>Clearing account</t>
  </si>
  <si>
    <t>Apparent error or rounding error in original</t>
  </si>
  <si>
    <t>Due to banks (Clearing House depository)</t>
  </si>
  <si>
    <t>Closing statement</t>
  </si>
  <si>
    <t>Cash, U.S. Mint, San Francisco, demand deposit</t>
  </si>
  <si>
    <t>Report of the Governor General of the Philippine Islands to the Secretary of War 1918: 121</t>
  </si>
  <si>
    <t>Total for fiscal year (ended June 30 to 1913; December 31, 1914-1938; June 30 from 1939)</t>
  </si>
  <si>
    <t>Memo item: additional Treasury certificates; see Secretary of Finance report, 30 June 1948: 118; 30 June 1949: 133</t>
  </si>
  <si>
    <t>Gold Standard Fund (1904-1912): first form of statement</t>
  </si>
  <si>
    <t>Gold Standard Fund (1911-1917): second form of statement / Currency Reserve Fund (1918-1922): first form of statement</t>
  </si>
  <si>
    <t>Treasurer's Report (1923: 47)</t>
  </si>
  <si>
    <t>Note: Unless noted, no funds on deposit in the United States were with U.S. agencies of Philippines banks; the Treasurer's reports give a complete list by bank</t>
  </si>
  <si>
    <t>Equivalent in pesos of U.S. deposits (calculated)</t>
  </si>
  <si>
    <t>On deposit with U.S. Mint, San Francisco (silver pesos)</t>
  </si>
  <si>
    <t>In Treasury vaults: Philippine silver coins</t>
  </si>
  <si>
    <t>Treasurer's Report (1925: 50)</t>
  </si>
  <si>
    <t>Treasurer's Report (1926: 51)</t>
  </si>
  <si>
    <t>Treasurer's Report (1927: 55)</t>
  </si>
  <si>
    <t>Treasurer's Report (1928: 69)</t>
  </si>
  <si>
    <t>Treasurer's Report (1929: 84)</t>
  </si>
  <si>
    <t>Treasurer's Report (1930: 83)</t>
  </si>
  <si>
    <t>Treasurer's Report (1931: 79)</t>
  </si>
  <si>
    <t>Treasurer's Report (1932: 76-77)</t>
  </si>
  <si>
    <t>Treasurer's Report (1933: 73-74)</t>
  </si>
  <si>
    <t>Treasurer's Report (1934: 70-71)</t>
  </si>
  <si>
    <t>Mint supplies and materials</t>
  </si>
  <si>
    <t>Cash: In {Philippine] Treasury vaults (Philippine currency)</t>
  </si>
  <si>
    <t>Cash: In {Philippine] Treasury vaults (U.S. currency)</t>
  </si>
  <si>
    <t>On deposit in the United States with authorized depositories</t>
  </si>
  <si>
    <t>Prepayment</t>
  </si>
  <si>
    <t>Finished products--new coinage</t>
  </si>
  <si>
    <t>Finished products--recoinage</t>
  </si>
  <si>
    <t>Work in progress--new coinage</t>
  </si>
  <si>
    <t>Work in progress--recoinage</t>
  </si>
  <si>
    <r>
      <t xml:space="preserve">Accrued interest payable /  accounts payable </t>
    </r>
    <r>
      <rPr>
        <sz val="11"/>
        <color rgb="FFFF0000"/>
        <rFont val="Calibri"/>
        <family val="2"/>
        <scheme val="minor"/>
      </rPr>
      <t>[negative]</t>
    </r>
  </si>
  <si>
    <t>Original data follow below</t>
  </si>
  <si>
    <t>Foreign assets</t>
  </si>
  <si>
    <t>Domestic assets</t>
  </si>
  <si>
    <t>Loans: Manila Railroad Company</t>
  </si>
  <si>
    <t>Revenue--insular</t>
  </si>
  <si>
    <t>Expenditures--insular</t>
  </si>
  <si>
    <t>Revenue--all levels</t>
  </si>
  <si>
    <t>Expenditures--all levels</t>
  </si>
  <si>
    <t>Budget balance--all levels</t>
  </si>
  <si>
    <t>Budget balance--insular</t>
  </si>
  <si>
    <t>The insular government means the national government</t>
  </si>
  <si>
    <t>Memo items</t>
  </si>
  <si>
    <t>Cash, U.S. Treasurer or U.S. Mint, San Francisco, time deposit</t>
  </si>
  <si>
    <t>Cash, U.S. Treasurer or U.S. Mint, San Francisco, demand deposit</t>
  </si>
  <si>
    <t>United States currency: equivalent in pesos</t>
  </si>
  <si>
    <t>Apparent error in original data</t>
  </si>
  <si>
    <r>
      <t xml:space="preserve">General funds plus Currency Reserve fund deposits with the Philippine National Bank in New York </t>
    </r>
    <r>
      <rPr>
        <sz val="11"/>
        <color rgb="FFFF0000"/>
        <rFont val="Calibri"/>
        <family val="2"/>
        <scheme val="minor"/>
      </rPr>
      <t>(converted from dollars)</t>
    </r>
  </si>
  <si>
    <t>Other or unspecified</t>
  </si>
  <si>
    <t>Redemption of Philippine currency</t>
  </si>
  <si>
    <t>Unspecified</t>
  </si>
  <si>
    <t>Net Treasury certificates redeemable issued</t>
  </si>
  <si>
    <t>Domestic liabilities</t>
  </si>
  <si>
    <t>Foreign liabilities</t>
  </si>
  <si>
    <t>Held in Treasury vaults pertaining to governmental funds</t>
  </si>
  <si>
    <t>Only silver was held in reserve against Treasury certificates except as noted</t>
  </si>
  <si>
    <t>Amount of certificates issued secured by gold held in the United States</t>
  </si>
  <si>
    <t>Treasurer's Report (1920: 10-11, 23)</t>
  </si>
  <si>
    <t>All coins</t>
  </si>
  <si>
    <t>Silver pesos in circulation</t>
  </si>
  <si>
    <t>Silver half-pesos in circulation</t>
  </si>
  <si>
    <t>Issued:</t>
  </si>
  <si>
    <t>Emergency issues are found elsewhere in the Treasurer's report than in the circulation statement before 1936</t>
  </si>
  <si>
    <t>Estimated Mexican and Spanish-Filipino currency in circulation 1903: 33,943,000 pesos</t>
  </si>
  <si>
    <t>Spanish-Filipino Bank (later Bank of the Philippine Islands), notes in circulation 1903: 2,057,000 pesps</t>
  </si>
  <si>
    <t>Fiscal year was only 6 months, January-June</t>
  </si>
  <si>
    <t>1913 July-December half year</t>
  </si>
  <si>
    <t>Memo item</t>
  </si>
  <si>
    <t>US dollars (for early years only)</t>
  </si>
  <si>
    <t>Philippine pesos (converted from U.S. dollars 1899-1909 at 2 pesos per dollar)</t>
  </si>
  <si>
    <t>Red lettering indicates calculations</t>
  </si>
  <si>
    <t>Treasurer's Report (1938: 78)</t>
  </si>
  <si>
    <t>Treasurer's Report (1937: 88)</t>
  </si>
  <si>
    <t>Treasurer's Report (1936: 81)</t>
  </si>
  <si>
    <t>Treasurer's Report (1940: 93)</t>
  </si>
  <si>
    <t>Treasurer's Report (1940: 94)</t>
  </si>
  <si>
    <t>Amounts in Philipine pesos unless noted</t>
  </si>
  <si>
    <t>Merged into Exchange Standard Fund 1918-1922</t>
  </si>
  <si>
    <t>Fund dind not exist until 1945</t>
  </si>
  <si>
    <t>World War II--no statements published</t>
  </si>
  <si>
    <t>No statement published?</t>
  </si>
  <si>
    <t>Change in financial year</t>
  </si>
  <si>
    <t>World War II--no statements published; maybe not for first postwar years either</t>
  </si>
  <si>
    <t>First statement of new currency system</t>
  </si>
  <si>
    <t>September 30</t>
  </si>
  <si>
    <t>First statement under new currency system</t>
  </si>
  <si>
    <t>Memo item: last prewar data</t>
  </si>
  <si>
    <t>For June 1941 figure, currency in circulation has been reduced from source's total of 24,000,000 to make the components add up correctly</t>
  </si>
  <si>
    <t>Civil Affairs Handbook Philippine Islands (1944, Section 5: 6)</t>
  </si>
  <si>
    <t>Mutual building and loan associations</t>
  </si>
  <si>
    <t>Assets / liabilities as of December 31</t>
  </si>
  <si>
    <t>Yearbook of Philippine Statistics 1940: 170-171</t>
  </si>
  <si>
    <t>Deposits as of December 31</t>
  </si>
  <si>
    <t>Data start 1930</t>
  </si>
  <si>
    <t>Data start 1907</t>
  </si>
  <si>
    <t>Yearbook of Philippine Statistics (1946: 320)</t>
  </si>
  <si>
    <t>Treasurer's report (1906: 17)</t>
  </si>
  <si>
    <t>Treasurer's report (1907: 23)</t>
  </si>
  <si>
    <t>Treasurer's report (1908: 40)</t>
  </si>
  <si>
    <t>Romualdez (1962: 450-451)</t>
  </si>
  <si>
    <t>Secretary of Finance report 1948: 116</t>
  </si>
  <si>
    <t>Central Bank of the Philippines annual report (1946: 66)</t>
  </si>
  <si>
    <t>Annual data on nonbank financial institutions</t>
  </si>
  <si>
    <t>Monthly data on currency in circulation</t>
  </si>
  <si>
    <t>Date</t>
  </si>
  <si>
    <t>Treasurer's report (1909: 31)</t>
  </si>
  <si>
    <t>Treasurer's report (1910: 36)</t>
  </si>
  <si>
    <t>Treasurer's report (1911: 29)</t>
  </si>
  <si>
    <t>Treasurer's report (1912: 37)</t>
  </si>
  <si>
    <t>Treasurer's report (1913: 39)</t>
  </si>
  <si>
    <t>Treasurer's report (1914: 48)</t>
  </si>
  <si>
    <t>Treasurer's report (1915: 46)</t>
  </si>
  <si>
    <t>Treasurer's report (1916: 55)</t>
  </si>
  <si>
    <t>Treasurer's report (1917: 51)</t>
  </si>
  <si>
    <t>Treasurer's report (1918: 40)</t>
  </si>
  <si>
    <t>Treasurer's report (1919: 44)</t>
  </si>
  <si>
    <t>Treasurer's report (1920: 41)</t>
  </si>
  <si>
    <t>Treasurer's report (1921: 44)</t>
  </si>
  <si>
    <t>Treasurer's report (1922: 49)</t>
  </si>
  <si>
    <t>Treasurer's report (1923: 67)</t>
  </si>
  <si>
    <t>Treasurer's report (1924: 75)</t>
  </si>
  <si>
    <t>Treasurer's report (1925: 80)</t>
  </si>
  <si>
    <t>Treasurer's report (1926: 78)</t>
  </si>
  <si>
    <t>Treasurer's report (1927: 86)</t>
  </si>
  <si>
    <t>Treasurer's report (1928: 101)</t>
  </si>
  <si>
    <t>Treasurer's report (1929: 119)</t>
  </si>
  <si>
    <t>Treasurer's report (1930: 117)</t>
  </si>
  <si>
    <t>Treasurer's report (1931: 115)</t>
  </si>
  <si>
    <t>Treasurer's report (1932: 105)</t>
  </si>
  <si>
    <t>Treasurer's report (1933: 103)</t>
  </si>
  <si>
    <t>Treasurer's report (1934: 99)</t>
  </si>
  <si>
    <t>Treasurer's report (1935: 100)</t>
  </si>
  <si>
    <t>Treasurer's report (1936: 95)</t>
  </si>
  <si>
    <t>Treasurer's report (1937: 93)</t>
  </si>
  <si>
    <t>Treasurer's report (1938: 92)</t>
  </si>
  <si>
    <t>Treasurer's report (1940: 109)</t>
  </si>
  <si>
    <t>Amount</t>
  </si>
  <si>
    <t>Source</t>
  </si>
  <si>
    <t>Series 1</t>
  </si>
  <si>
    <t>Series 2</t>
  </si>
  <si>
    <t>Japanese military notes only</t>
  </si>
  <si>
    <t>Central Bank of the Philippines annual report (1949: 201)</t>
  </si>
  <si>
    <t>Central Bank of the Philippines annual report (1949: 202)</t>
  </si>
  <si>
    <t>Currency held by public only?</t>
  </si>
  <si>
    <r>
      <t xml:space="preserve">Less </t>
    </r>
    <r>
      <rPr>
        <sz val="11"/>
        <color rgb="FFFF0000"/>
        <rFont val="Calibri"/>
        <family val="2"/>
      </rPr>
      <t>[negative]:</t>
    </r>
  </si>
  <si>
    <t>Annual Nonbank Data</t>
  </si>
  <si>
    <t>Monthly Circulation</t>
  </si>
  <si>
    <t>Mainly Treasurer's annual report</t>
  </si>
  <si>
    <t>Annual Currency Data sheet</t>
  </si>
  <si>
    <t>Banking Data sheet</t>
  </si>
  <si>
    <t>Ryan Freedman compiled most of the monetary data, performed the data analysis for the working paper, and created the graphs for the working paper</t>
  </si>
  <si>
    <t>Graph of currency in circulation from 1916-1923</t>
  </si>
  <si>
    <t>Annual banking data</t>
  </si>
  <si>
    <t>Graph of bank loans and resources at Start of 1920s and 1930s</t>
  </si>
  <si>
    <t>Government notes and coins plus bank-issued notes</t>
  </si>
  <si>
    <t>Analyzes data to determine if currency board rules were followed</t>
  </si>
  <si>
    <t>Currency values in government funds</t>
  </si>
  <si>
    <t>Government budget balance</t>
  </si>
  <si>
    <t>Monthly currency circulation</t>
  </si>
  <si>
    <t>Rahee Jung and Kurt Schuler also compiled some of the data</t>
  </si>
  <si>
    <r>
      <t xml:space="preserve">Central Bank of the Philippines (1949) </t>
    </r>
    <r>
      <rPr>
        <i/>
        <sz val="11"/>
        <color theme="1"/>
        <rFont val="Calibri"/>
        <family val="2"/>
      </rPr>
      <t>First Annual Report.</t>
    </r>
    <r>
      <rPr>
        <sz val="11"/>
        <color theme="1"/>
        <rFont val="Calibri"/>
        <family val="2"/>
      </rPr>
      <t xml:space="preserve"> Manila: Central Bank of the Philippines.</t>
    </r>
  </si>
  <si>
    <r>
      <t xml:space="preserve">Philippines. Banking Bureau. (1929-1939/1940) </t>
    </r>
    <r>
      <rPr>
        <i/>
        <sz val="11"/>
        <color rgb="FF000000"/>
        <rFont val="Calibri"/>
        <family val="2"/>
      </rPr>
      <t>Annual Report of the Bank Commissioner of the Philippine Islands to the Honorable Secretary of Finance for the Fiscal Year Ended ….</t>
    </r>
    <r>
      <rPr>
        <sz val="11"/>
        <color rgb="FF000000"/>
        <rFont val="Calibri"/>
        <family val="2"/>
      </rPr>
      <t xml:space="preserve"> Manila: Bureau of Printing.</t>
    </r>
  </si>
  <si>
    <r>
      <t xml:space="preserve">Philippines. Bureau of Commerce and Industry. (1918-1941) </t>
    </r>
    <r>
      <rPr>
        <i/>
        <sz val="11"/>
        <color rgb="FF000000"/>
        <rFont val="Calibri"/>
        <family val="2"/>
      </rPr>
      <t>Statistical Bulletin</t>
    </r>
    <r>
      <rPr>
        <sz val="11"/>
        <color rgb="FF000000"/>
        <rFont val="Calibri"/>
        <family val="2"/>
      </rPr>
      <t xml:space="preserve"> (later</t>
    </r>
    <r>
      <rPr>
        <i/>
        <sz val="11"/>
        <color rgb="FF000000"/>
        <rFont val="Calibri"/>
        <family val="2"/>
      </rPr>
      <t xml:space="preserve"> Statistical Bulletin of the Philippine Islands).</t>
    </r>
    <r>
      <rPr>
        <sz val="11"/>
        <color rgb="FF000000"/>
        <rFont val="Calibri"/>
        <family val="2"/>
      </rPr>
      <t xml:space="preserve"> Manila: Bureau of Commerce and Industry. </t>
    </r>
  </si>
  <si>
    <r>
      <t xml:space="preserve">Philippines. Bureau of Statistics and Census. (1940, 1946) </t>
    </r>
    <r>
      <rPr>
        <i/>
        <sz val="11"/>
        <color rgb="FF000000"/>
        <rFont val="Calibri"/>
        <family val="2"/>
      </rPr>
      <t>Yearbook of Philippine Statistics.</t>
    </r>
    <r>
      <rPr>
        <sz val="11"/>
        <color rgb="FF000000"/>
        <rFont val="Calibri"/>
        <family val="2"/>
      </rPr>
      <t xml:space="preserve"> Manila: Bureau of Printing.</t>
    </r>
  </si>
  <si>
    <r>
      <t xml:space="preserve">Philippines. Bureau of the </t>
    </r>
    <r>
      <rPr>
        <sz val="11"/>
        <color theme="1"/>
        <rFont val="Calibri"/>
        <family val="2"/>
      </rPr>
      <t xml:space="preserve">Treasury. (1904-1940) </t>
    </r>
    <r>
      <rPr>
        <i/>
        <sz val="11"/>
        <color theme="1"/>
        <rFont val="Calibri"/>
        <family val="2"/>
      </rPr>
      <t>First Annual Report of the Chief of Division of Currency for the Philippine Islands to the Treasurer of the Philippine Islands for the Period from October 10, 1903 to September 1, 1904</t>
    </r>
    <r>
      <rPr>
        <sz val="11"/>
        <color theme="1"/>
        <rFont val="Calibri"/>
        <family val="2"/>
      </rPr>
      <t xml:space="preserve"> (1903/1904); </t>
    </r>
    <r>
      <rPr>
        <i/>
        <sz val="11"/>
        <color theme="1"/>
        <rFont val="Calibri"/>
        <family val="2"/>
      </rPr>
      <t>Second Annual Report of the Chief of Division of Currency for the Philippine Islands to the Treasurer of the Philippine Islands for the Period from July 1, 1904 to September 1, 1905</t>
    </r>
    <r>
      <rPr>
        <sz val="11"/>
        <color theme="1"/>
        <rFont val="Calibri"/>
        <family val="2"/>
      </rPr>
      <t xml:space="preserve"> (1904/1905); </t>
    </r>
    <r>
      <rPr>
        <i/>
        <sz val="11"/>
        <color theme="1"/>
        <rFont val="Calibri"/>
        <family val="2"/>
      </rPr>
      <t>Annual Report of the Treasurer of the Philippine Islands to the Secretary of Finance and Justice for the Fiscal Year Ending …</t>
    </r>
    <r>
      <rPr>
        <sz val="11"/>
        <color theme="1"/>
        <rFont val="Calibri"/>
        <family val="2"/>
      </rPr>
      <t xml:space="preserve"> (1905/1906-1914); </t>
    </r>
    <r>
      <rPr>
        <i/>
        <sz val="11"/>
        <color theme="1"/>
        <rFont val="Calibri"/>
        <family val="2"/>
      </rPr>
      <t>Annual Report of the Treasurer of the Philippine Islands to the Secretary of Finance for the Fiscal Year Ending …</t>
    </r>
    <r>
      <rPr>
        <sz val="11"/>
        <color theme="1"/>
        <rFont val="Calibri"/>
        <family val="2"/>
      </rPr>
      <t xml:space="preserve"> (1915-1939/1940). Manila: Bureau of Public Printing.</t>
    </r>
  </si>
  <si>
    <r>
      <t xml:space="preserve">Philippines. Governor-General. (1916-1935) </t>
    </r>
    <r>
      <rPr>
        <i/>
        <sz val="11"/>
        <color theme="1"/>
        <rFont val="Calibri"/>
        <family val="2"/>
      </rPr>
      <t>Report of the Governor General of the Philippine Islands to the Secretary of War.</t>
    </r>
    <r>
      <rPr>
        <sz val="11"/>
        <color theme="1"/>
        <rFont val="Calibri"/>
        <family val="2"/>
      </rPr>
      <t xml:space="preserve"> Washington: Government Printing Office.</t>
    </r>
  </si>
  <si>
    <r>
      <t xml:space="preserve">Philippines. Secretary of Finance. </t>
    </r>
    <r>
      <rPr>
        <i/>
        <sz val="11"/>
        <color theme="1"/>
        <rFont val="Calibri"/>
        <family val="2"/>
      </rPr>
      <t>Annual Report of the Secretary of Finance and Justice for the Fiscal Year Ending …</t>
    </r>
    <r>
      <rPr>
        <sz val="11"/>
        <color theme="1"/>
        <rFont val="Calibri"/>
        <family val="2"/>
      </rPr>
      <t xml:space="preserve"> (1914-1934); </t>
    </r>
    <r>
      <rPr>
        <i/>
        <sz val="11"/>
        <color theme="1"/>
        <rFont val="Calibri"/>
        <family val="2"/>
      </rPr>
      <t>Annual Report of the Secretary of Finance to the President of the Philippines for the Period from …</t>
    </r>
    <r>
      <rPr>
        <sz val="11"/>
        <color theme="1"/>
        <rFont val="Calibri"/>
        <family val="2"/>
      </rPr>
      <t xml:space="preserve"> (1935-1939/1940, 1947/1948-1948/1949). Manila: Bureau of Printing. (We are uncertain whether there are post-World War II issues of the report earlier than 1947/1948.)</t>
    </r>
  </si>
  <si>
    <r>
      <t xml:space="preserve">Romualdez, Eduardo Z. (1962) “Financial Problems Created by the War.” </t>
    </r>
    <r>
      <rPr>
        <i/>
        <sz val="11"/>
        <color theme="1"/>
        <rFont val="Calibri"/>
        <family val="2"/>
      </rPr>
      <t>Journal of History</t>
    </r>
    <r>
      <rPr>
        <sz val="11"/>
        <color theme="1"/>
        <rFont val="Calibri"/>
        <family val="2"/>
      </rPr>
      <t xml:space="preserve"> (later </t>
    </r>
    <r>
      <rPr>
        <i/>
        <sz val="11"/>
        <color theme="1"/>
        <rFont val="Calibri"/>
        <family val="2"/>
      </rPr>
      <t>Journal of the Philippine National Historical Society</t>
    </r>
    <r>
      <rPr>
        <sz val="11"/>
        <color theme="1"/>
        <rFont val="Calibri"/>
        <family val="2"/>
      </rPr>
      <t>), v. 10, no. 4, December: 448-518.</t>
    </r>
  </si>
  <si>
    <r>
      <t xml:space="preserve">United States. Philippine Commission. (1900-1915) </t>
    </r>
    <r>
      <rPr>
        <i/>
        <sz val="11"/>
        <color theme="1"/>
        <rFont val="Calibri"/>
        <family val="2"/>
        <scheme val="minor"/>
      </rPr>
      <t>Report of the Philippine Commission to the Secretary of War</t>
    </r>
    <r>
      <rPr>
        <sz val="11"/>
        <color theme="1"/>
        <rFont val="Calibri"/>
        <family val="2"/>
        <scheme val="minor"/>
      </rPr>
      <t>. Washington: Government Printing Office.</t>
    </r>
  </si>
  <si>
    <t>Data are from the following sources:</t>
  </si>
  <si>
    <r>
      <t xml:space="preserve">United States. Army. (1944) </t>
    </r>
    <r>
      <rPr>
        <i/>
        <sz val="11"/>
        <color theme="1"/>
        <rFont val="Calibri"/>
        <family val="2"/>
        <scheme val="minor"/>
      </rPr>
      <t xml:space="preserve">Civil Affairs Handbook. The Philippines. Section 5: Money and Banking. </t>
    </r>
    <r>
      <rPr>
        <sz val="11"/>
        <color theme="1"/>
        <rFont val="Calibri"/>
        <family val="2"/>
        <scheme val="minor"/>
      </rPr>
      <t xml:space="preserve">Army Services Forces Manual M365-5, Civil Affairs. Headquarters, Army Services Forces, December 1944. Washington: Government Printing Office. https://archive.org/details/ldpd_11664351_005 </t>
    </r>
  </si>
  <si>
    <t>Annual data on nonbank deposit-taking financial institutions</t>
  </si>
  <si>
    <t>Currency Funds sheet</t>
  </si>
  <si>
    <t>Various</t>
  </si>
  <si>
    <t>Philippine Monetary Data (1904-1948)</t>
  </si>
  <si>
    <t>Notes</t>
  </si>
  <si>
    <t>Data during and after World War II are less complete and in some cases less reliable than data before World War II</t>
  </si>
  <si>
    <t>Bank notes calculated as total circulation minus government certificates and coins</t>
  </si>
  <si>
    <t>Bank notes figure is from banking data; total net circulation figure revised because numbers in Treasurer's report don't add up</t>
  </si>
  <si>
    <t>Bank notes are estimated</t>
  </si>
  <si>
    <t>Bank notes are from March 31 statement to Comptroller of the Currency</t>
  </si>
  <si>
    <t>US Comptroller of the Currency (1904, v. 1: 444)</t>
  </si>
  <si>
    <t>Due to own head offices and branches (in Philippines or abroad)</t>
  </si>
  <si>
    <t>Due from own head office and branches (in Philippines or abroad)</t>
  </si>
  <si>
    <t>Deposits of disbursing officers, insular fund</t>
  </si>
  <si>
    <t>US Comptroller of the Currency (1905, v. 1: 372)</t>
  </si>
  <si>
    <t xml:space="preserve">   Banking houses, furniture, and fixtures</t>
  </si>
  <si>
    <t xml:space="preserve">   Other real estate and mortgages owned</t>
  </si>
  <si>
    <t>Banking houses and other real estate owned</t>
  </si>
  <si>
    <t>Due from agents and correspondents</t>
  </si>
  <si>
    <t>Due to agents and correspondents</t>
  </si>
  <si>
    <t xml:space="preserve">   Philippine currency</t>
  </si>
  <si>
    <t xml:space="preserve">   United States currency</t>
  </si>
  <si>
    <t xml:space="preserve">   Other currency</t>
  </si>
  <si>
    <t xml:space="preserve">   Stamps</t>
  </si>
  <si>
    <t xml:space="preserve">   Bullion</t>
  </si>
  <si>
    <t>Bills for collection</t>
  </si>
  <si>
    <t>Banco Espanol notes</t>
  </si>
  <si>
    <t>Effects</t>
  </si>
  <si>
    <t>Notes, receipt fro Central Office</t>
  </si>
  <si>
    <t>Bills for collecton</t>
  </si>
  <si>
    <t>Due to banks outside the Philippines</t>
  </si>
  <si>
    <t>Deposits (all)</t>
  </si>
  <si>
    <t>Demand deposits</t>
  </si>
  <si>
    <r>
      <t xml:space="preserve">Philippine Statistical Bulletin </t>
    </r>
    <r>
      <rPr>
        <sz val="12"/>
        <color theme="1"/>
        <rFont val="Calibri"/>
        <family val="2"/>
        <scheme val="minor"/>
      </rPr>
      <t xml:space="preserve">and </t>
    </r>
    <r>
      <rPr>
        <i/>
        <sz val="12"/>
        <color theme="1"/>
        <rFont val="Calibri"/>
        <family val="2"/>
        <scheme val="minor"/>
      </rPr>
      <t>Yearbook of Philippine Statistics</t>
    </r>
    <r>
      <rPr>
        <sz val="12"/>
        <color theme="1"/>
        <rFont val="Calibri"/>
        <family val="2"/>
        <scheme val="minor"/>
      </rPr>
      <t xml:space="preserve"> 1940</t>
    </r>
  </si>
  <si>
    <t>Total circulation is corrected from source figure, which is 5 pesos less than its components</t>
  </si>
  <si>
    <t>World War II  emergency and guerilla currency</t>
  </si>
  <si>
    <t>Philippine National Bank notes are an estimate</t>
  </si>
  <si>
    <t>Secretary of Finance report (1948: 109)</t>
  </si>
  <si>
    <t>Capital not mentioned for 1945, 1947 or 1948</t>
  </si>
  <si>
    <t xml:space="preserve">Subsidiary coins </t>
  </si>
  <si>
    <t>omitted</t>
  </si>
  <si>
    <t>Subsidiary coins</t>
  </si>
  <si>
    <t>Philippine Coins [excludes pre-1903 issues]:</t>
  </si>
  <si>
    <t>Subtotal: Philippine government currency in circulation</t>
  </si>
  <si>
    <t>TOTAL NET CIRCULATION</t>
  </si>
  <si>
    <t>Treasury certificates net circulation:</t>
  </si>
  <si>
    <t>Philippine coins net circulation [excludes pre-1903 issues]:</t>
  </si>
  <si>
    <t>Bank notes net circulation</t>
  </si>
  <si>
    <t>Post-1903  Coins</t>
  </si>
  <si>
    <t>Currency Graph Depression</t>
  </si>
  <si>
    <t>Currency Funds and Export Graph</t>
  </si>
  <si>
    <t>Government currency only, 11/24/1945</t>
  </si>
  <si>
    <t>Government currency only, 12/8/1945</t>
  </si>
  <si>
    <t>Government currency only, 1/26/1946</t>
  </si>
  <si>
    <t>Government currency only, 9/28/1946</t>
  </si>
  <si>
    <t>Government currency only, 10/26/1946</t>
  </si>
  <si>
    <t>Government currency only, 11/29/1946</t>
  </si>
  <si>
    <t>Government currency only, 12/28/1946</t>
  </si>
  <si>
    <t>Government currency only</t>
  </si>
  <si>
    <t>Government currency only, 7/27/1946</t>
  </si>
  <si>
    <t>No source found</t>
  </si>
  <si>
    <t>not available</t>
  </si>
  <si>
    <t>Ccnsistency check, total net circulation (should be zero)</t>
  </si>
  <si>
    <t>Consistency check, Spanish Filipino Bank (should be zero)</t>
  </si>
  <si>
    <t>Consistency check, Philippine National Bank (should be zero)</t>
  </si>
  <si>
    <t>Consistency check, bank notes net circulation</t>
  </si>
  <si>
    <t>Consistency check, Treasury certificates (should be zero)</t>
  </si>
  <si>
    <t>not applicable</t>
  </si>
  <si>
    <t>Treasury certificates issued is corrected from source figure, which is 200,000 pesos too low; total circulation is corrected from source figure, which is 100,000 pesos more than its components, with the error being in net bank note circulation</t>
  </si>
  <si>
    <t>Minor coins reduced by 50,000 peso from figure in source to balance</t>
  </si>
  <si>
    <t>Spanish-Filipino Bank (later Bank of the Philippine Islands):</t>
  </si>
  <si>
    <t>Total issued (new issues)</t>
  </si>
  <si>
    <t>1904 issue</t>
  </si>
  <si>
    <t>Mexican currency issue</t>
  </si>
  <si>
    <t>Notes held in bank vaults</t>
  </si>
  <si>
    <t>Amount destroyed, edimated</t>
  </si>
  <si>
    <t>Net circulation</t>
  </si>
  <si>
    <t>Total issued</t>
  </si>
  <si>
    <t>Bank notes</t>
  </si>
  <si>
    <t>Revises figure for net circulation for Bank of the Philippine Islands to reflect that notes held in bank vaults and amount destroyed should be subtracted, rather than added as in the original</t>
  </si>
  <si>
    <r>
      <t xml:space="preserve">Less [coins] held in Treasury vaults or destroyed </t>
    </r>
    <r>
      <rPr>
        <sz val="11"/>
        <color rgb="FFFF0000"/>
        <rFont val="Calibri"/>
        <family val="2"/>
      </rPr>
      <t>[negative]:</t>
    </r>
  </si>
  <si>
    <t>Consistency check, coins, net circulation (should be zero)</t>
  </si>
  <si>
    <t>Consistency check, coins issued (should be zero)</t>
  </si>
  <si>
    <t>Consistency check, coins held in Treasury vaults (should be zero)</t>
  </si>
  <si>
    <t>Silver pesos (includes half-pesos 1904?)</t>
  </si>
  <si>
    <t>none listed</t>
  </si>
  <si>
    <t>Philippine Statistical Yearbook (1940: 170)</t>
  </si>
  <si>
    <t>Philippine Statistical Yearbook (1940: 169)</t>
  </si>
  <si>
    <t>Statistical Bulletin (1918: 78)</t>
  </si>
  <si>
    <t>Statistical Bulletin (1918: 79)</t>
  </si>
  <si>
    <t>Statistical Bulletin (1920: 286-287)</t>
  </si>
  <si>
    <t>Statistical Bulletin (1921: 50)</t>
  </si>
  <si>
    <t>Statistical Bulletin (1926: 174)</t>
  </si>
  <si>
    <t>Statistical Bulletin (1928: 217)</t>
  </si>
  <si>
    <t>Bank Commissioner's Report (1929: 8)</t>
  </si>
  <si>
    <t>Civil Affairs Handbook Philippine Islands (Section 5: 36)</t>
  </si>
  <si>
    <t>Philippine Statistical Yearbook (1946: 333, 335)</t>
  </si>
  <si>
    <t>Secretary of Finance report (1948: 142-145)</t>
  </si>
  <si>
    <t>Fund in Manila bank</t>
  </si>
  <si>
    <t>Fund in United States</t>
  </si>
  <si>
    <t>San Francisco Mint (pesos)</t>
  </si>
  <si>
    <t>Net fund</t>
  </si>
  <si>
    <t>Total (pesos)</t>
  </si>
  <si>
    <t>Peso equivalent</t>
  </si>
  <si>
    <t>Report of the Governor General (1930: 271)</t>
  </si>
  <si>
    <t>The Manila Clearing House was organized on October 13, 1930</t>
  </si>
  <si>
    <t>Report of the Governor General (1932: 228)</t>
  </si>
  <si>
    <t>Report of the Governor General (1931: 297)</t>
  </si>
  <si>
    <t>Report of the Governor General (1929: 222)</t>
  </si>
  <si>
    <r>
      <t xml:space="preserve">United States. High Commissioner to the Philippine Islands. (1937-1946). </t>
    </r>
    <r>
      <rPr>
        <i/>
        <sz val="11"/>
        <color theme="1"/>
        <rFont val="Calibri"/>
        <family val="2"/>
        <scheme val="minor"/>
      </rPr>
      <t>Annual Report of the High Commmissioner of the United States to the Philippine Islands to the President and Congress of the United States.</t>
    </r>
    <r>
      <rPr>
        <sz val="11"/>
        <color theme="1"/>
        <rFont val="Calibri"/>
        <family val="2"/>
        <scheme val="minor"/>
      </rPr>
      <t xml:space="preserve"> Washington: Government Printing Office.</t>
    </r>
  </si>
  <si>
    <t>Civil Affairs Handbook Philippine Islands (1944, Section 5: 5-6); Report of the Philippine High Commissioner (1942: 113)</t>
  </si>
  <si>
    <t>June 28</t>
  </si>
  <si>
    <t>Capital, suplus,and reserves</t>
  </si>
  <si>
    <t xml:space="preserve">   Capital stock paid in</t>
  </si>
  <si>
    <t xml:space="preserve">   Surplus, reserves, and undivided profits:</t>
  </si>
  <si>
    <t xml:space="preserve">      Surplus and reserves:</t>
  </si>
  <si>
    <t xml:space="preserve">         Surplus</t>
  </si>
  <si>
    <t xml:space="preserve">         Reserve fund</t>
  </si>
  <si>
    <t xml:space="preserve">     Undivided profits</t>
  </si>
  <si>
    <t>Excluding Agricultural and Industrial Bank (government owned)</t>
  </si>
  <si>
    <t>Yearbook of Philippine Statistics (1946: 329)</t>
  </si>
  <si>
    <t>Philippines, Statistical Bulletin</t>
  </si>
  <si>
    <t>Postal savings bank</t>
  </si>
  <si>
    <t>Source of postal savings bank data</t>
  </si>
  <si>
    <t>US High Commissioner (1942: 112)</t>
  </si>
  <si>
    <t>US High Commissioner (1942: 113)</t>
  </si>
  <si>
    <t>Treasurer (1907: 11-12)</t>
  </si>
  <si>
    <t>Treasurer (1908: 23)</t>
  </si>
  <si>
    <t>Treasurer (1909: 18-19)</t>
  </si>
  <si>
    <t>Treasurer (1914: 46-48)</t>
  </si>
  <si>
    <t>Treasurer (1915: 44-46)</t>
  </si>
  <si>
    <t>Treasurer (1916: 52-55)</t>
  </si>
  <si>
    <t>Treasurer (1918: 37-39)</t>
  </si>
  <si>
    <t>Treasurer (1919: 43)</t>
  </si>
  <si>
    <t>Treasurer (1920: 40)</t>
  </si>
  <si>
    <t>Treasurer (1921: 41, 43)</t>
  </si>
  <si>
    <t>Treasurer (1922: 48)</t>
  </si>
  <si>
    <t>Treasurer (1923: 66)</t>
  </si>
  <si>
    <t>Treasurer (1924: 73)</t>
  </si>
  <si>
    <t>Treasurer (1925: 78)</t>
  </si>
  <si>
    <t>Treasurer (1926: 76)</t>
  </si>
  <si>
    <t>Treasurer (1927: 84)</t>
  </si>
  <si>
    <t>Treasurer (1928: 99)</t>
  </si>
  <si>
    <t>Treasurer (1929: 117)</t>
  </si>
  <si>
    <t>Treasurer (1930: 115)</t>
  </si>
  <si>
    <t>Treasurer (1931: 113)</t>
  </si>
  <si>
    <t>Treasurer (1932: 102)</t>
  </si>
  <si>
    <t>Treasurer (1933: 101)</t>
  </si>
  <si>
    <t>Treasurer (1934: 96)</t>
  </si>
  <si>
    <t>Treasurer (1935: 98)</t>
  </si>
  <si>
    <t>Treasurer (1936: 93)</t>
  </si>
  <si>
    <t>Treasurer (1937: 91)</t>
  </si>
  <si>
    <t>Treasurer (1938: 90)</t>
  </si>
  <si>
    <t>Secretary of Finance report (19447/8: 109)</t>
  </si>
  <si>
    <t>Secretary of Finance report (1947/48: 1909, 116)</t>
  </si>
  <si>
    <t>Central Bank of the Philippines (1949:  66)</t>
  </si>
  <si>
    <t>US High Commmissioner (1938/39:110 )</t>
  </si>
  <si>
    <t>Philippine pesos, excluding pre-1903 coins</t>
  </si>
  <si>
    <t>Philippine National Bank (opened 1916):</t>
  </si>
  <si>
    <t>Remarks for each year (see under each year)</t>
  </si>
  <si>
    <t>Currency Data, 1904-1941</t>
  </si>
  <si>
    <t xml:space="preserve">1948 remarks </t>
  </si>
  <si>
    <t>Treasurer's Report (1914: 6)</t>
  </si>
  <si>
    <t>Treasurer's Report (1915: 4)</t>
  </si>
  <si>
    <t>Treasurer's Report (1916: 10)</t>
  </si>
  <si>
    <t>Treasurer's Report (1917: 9)</t>
  </si>
  <si>
    <t>Treasurer's Report (1925: 57)</t>
  </si>
  <si>
    <t>Treasurer's Report (1926: 58)</t>
  </si>
  <si>
    <t>Treasurer's Report (1927: 63)</t>
  </si>
  <si>
    <t>Treasurer's Report (1928: 76)</t>
  </si>
  <si>
    <t>Treasurer's Report (1930: 90)</t>
  </si>
  <si>
    <t>Treasurer's Report (1930: 91)</t>
  </si>
  <si>
    <t>Treasurer's Report (1931: 87)</t>
  </si>
  <si>
    <t>Treasurer's Report (1933: 81)</t>
  </si>
  <si>
    <t>Treasurer's Report (1933: 82)</t>
  </si>
  <si>
    <t>Treasurer's Report (1934: 78)</t>
  </si>
  <si>
    <t>Treasurer's Report (1935: 95)</t>
  </si>
  <si>
    <t>Secretary of Finance report (1948:  117-118)</t>
  </si>
  <si>
    <t>Secretary of Finance report (1949:  132-133)</t>
  </si>
  <si>
    <t>Treasurer's Report (1906: 12)</t>
  </si>
  <si>
    <t>Treasurer's Report (1907: 14)</t>
  </si>
  <si>
    <t>Treasurer's Report (1908: 29)</t>
  </si>
  <si>
    <t>Treasurer's Report (1909: 24)</t>
  </si>
  <si>
    <t>Treasurer's Report (1910: 26)</t>
  </si>
  <si>
    <t>Treasurer's Report (1911: 22)</t>
  </si>
  <si>
    <t>Treasurer's Report (1912: 30-31)</t>
  </si>
  <si>
    <t>Treasurer's Report (1904: 8)</t>
  </si>
  <si>
    <t>Treasurer's Report (1905: 9)</t>
  </si>
  <si>
    <t>Treasurer's Report (1912: 29)</t>
  </si>
  <si>
    <t>Treasurer's Report (1912: 30)</t>
  </si>
  <si>
    <t>Treasurer's Report (1913: 24)</t>
  </si>
  <si>
    <t>Treasurer's Report (1914: 10)</t>
  </si>
  <si>
    <t>Treasurer's Report (1915: 10)</t>
  </si>
  <si>
    <t>Treasurer's Report (1916: 19)</t>
  </si>
  <si>
    <t>Treasurer's Report (1917: 11, 16)</t>
  </si>
  <si>
    <t>Treasurer's Report (1918: 10-11, 23)</t>
  </si>
  <si>
    <t>Treasurer's Report (1919: 14; 1920: 22)</t>
  </si>
  <si>
    <t>Treasurer's Report (1921: 11, 25)</t>
  </si>
  <si>
    <t>Treasurer's Report (1922: 14, 28)</t>
  </si>
  <si>
    <t>Secretary of Finance report (1948:  114)</t>
  </si>
  <si>
    <t>Secretary of Finance report (1948:  114-116)</t>
  </si>
  <si>
    <t>Secretary of Finance report (1949:  131-132)</t>
  </si>
  <si>
    <t>Supplies in stock</t>
  </si>
  <si>
    <t>Work in progress--commemorative silver coins</t>
  </si>
  <si>
    <r>
      <t xml:space="preserve">Supplies vouchers payable </t>
    </r>
    <r>
      <rPr>
        <sz val="11"/>
        <color rgb="FFFF0000"/>
        <rFont val="Calibri"/>
        <family val="2"/>
        <scheme val="minor"/>
      </rPr>
      <t>[negative]</t>
    </r>
  </si>
  <si>
    <r>
      <t>Surcharges, Division of Purchase and Supply</t>
    </r>
    <r>
      <rPr>
        <sz val="11"/>
        <color rgb="FFFF0000"/>
        <rFont val="Calibri"/>
        <family val="2"/>
        <scheme val="minor"/>
      </rPr>
      <t xml:space="preserve"> [negative]</t>
    </r>
  </si>
  <si>
    <t>Treasurer's Report (1935: 71)</t>
  </si>
  <si>
    <t>Treasurer's Report (1936: 74)</t>
  </si>
  <si>
    <t>Finished products--commemorative silver coins</t>
  </si>
  <si>
    <t>Sales stock--commemorative silver coins in U.S.</t>
  </si>
  <si>
    <t>Hand tools</t>
  </si>
  <si>
    <t>Reserved coins</t>
  </si>
  <si>
    <t>Reserved Culion Colony tokens</t>
  </si>
  <si>
    <t>Error in original</t>
  </si>
  <si>
    <t>Sales stock--commemorative silver coins in Philippines</t>
  </si>
  <si>
    <t>Work in progress--new coinage 1 centavo</t>
  </si>
  <si>
    <t>Work in progress--new coinage 5 centavos</t>
  </si>
  <si>
    <t>Work in progress--recoinage 1 centavo</t>
  </si>
  <si>
    <t>Work in progress--recoinage 10 centavos</t>
  </si>
  <si>
    <t>Technical and scientific equipment</t>
  </si>
  <si>
    <t>Equipment in transit</t>
  </si>
  <si>
    <t>Work in progress--recoinage 10 and 20 centavos</t>
  </si>
  <si>
    <t>Finished products--new coinage 1 centavo</t>
  </si>
  <si>
    <t>Finished products--new coinage 5 centavos</t>
  </si>
  <si>
    <t>Coins sent to U.S. for testing weighing machine</t>
  </si>
  <si>
    <t>Finished products--recoinage 10 and 20 centavos</t>
  </si>
  <si>
    <t>Treasurer's Report (1938: 71-72)</t>
  </si>
  <si>
    <t>Treasurer's Report (1937: 71-72)</t>
  </si>
  <si>
    <t>Treasurer's Report (1940: 84-85)</t>
  </si>
  <si>
    <t>Treasurer's Report (1940: 86-87)</t>
  </si>
  <si>
    <t>Fines</t>
  </si>
  <si>
    <t>Accounts receivable (service income)</t>
  </si>
  <si>
    <t>Finished products--recoinage 1 centavo</t>
  </si>
  <si>
    <t>Industrial machinery and equipment (or implements)</t>
  </si>
  <si>
    <t>Furniture and office equpment</t>
  </si>
  <si>
    <t>Treasurer (1940: 109-110) (no 1939 report issued because of change of fiscal year from December to June?)</t>
  </si>
  <si>
    <t>Treasurer (1940: 107)</t>
  </si>
  <si>
    <t>Yearbook of Philippine Statistics (1940: 164)</t>
  </si>
  <si>
    <t>Unite Nations Statistical Yearbook (1951: 520)</t>
  </si>
  <si>
    <t>Statistical Bulletin (1919: 174)</t>
  </si>
  <si>
    <t>Report of the Philippine Commission to the Secretary of War (1909: 17)</t>
  </si>
  <si>
    <t>Report of the Governor General of the Philippine Islands to the Secretary of War (1918: 121)</t>
  </si>
  <si>
    <t>Sugar processing tax collected from United States</t>
  </si>
  <si>
    <t>Estimated, general fund only; upset by invasion</t>
  </si>
  <si>
    <t>Statesman's Year Book (1947: 1160)</t>
  </si>
  <si>
    <t>Average annual price of silver</t>
  </si>
  <si>
    <t>U.S. dollars per troy ounce</t>
  </si>
  <si>
    <t>Hillard, Henry E., "Silver," Commodity Statistics and Information, U.S. Geological Survey, https://minerals.usgs.gov/minerals/pubs/commodity/silver/880798.pdf, viewed June 23, 2017</t>
  </si>
  <si>
    <t>Silver</t>
  </si>
  <si>
    <t>Annual average price of silver</t>
  </si>
  <si>
    <t>Henry E. Hilliard, "Silver"</t>
  </si>
  <si>
    <t>Note that this is the annual average and not necessarily the price on any particular date</t>
  </si>
  <si>
    <t>Dollars per troy ounce</t>
  </si>
  <si>
    <t>10 centavos 1903-1906: 0.0779</t>
  </si>
  <si>
    <t>10 centavos 1907-1935: 0.0482</t>
  </si>
  <si>
    <t>20 centavos 1903-1906: 0.1558</t>
  </si>
  <si>
    <t>20 centavos 1907-1935: 0.0965</t>
  </si>
  <si>
    <t>50 centavos 1903-1906: 0.3900</t>
  </si>
  <si>
    <t>50 centavos 1907-1935: 0.2441</t>
  </si>
  <si>
    <t>1 peso 1903-1906: 0.7800</t>
  </si>
  <si>
    <t>1 peso 1907-1912: 0.5144</t>
  </si>
  <si>
    <t>Silver coins were 90% silver 1903-06</t>
  </si>
  <si>
    <t>From 1907 they were 80% silver for the peso, 75% silver for 10-50 centavos</t>
  </si>
  <si>
    <t>Only commemorative pesos were struck after 1912; Filipinos used Treasury certificates widely instead</t>
  </si>
  <si>
    <t>Silver content of Philippine coins in troy ounces</t>
  </si>
  <si>
    <t>Not found</t>
  </si>
  <si>
    <t>Held in Gold Standard or Exchange Standard Fund</t>
  </si>
  <si>
    <t>Other</t>
  </si>
  <si>
    <t>Classification of assets/liabliities</t>
  </si>
  <si>
    <t>Assets (Cash)</t>
  </si>
  <si>
    <r>
      <t>Currency Reserve Fund total bank deposits in the United States including Philippine National Bank</t>
    </r>
    <r>
      <rPr>
        <sz val="11"/>
        <color rgb="FFFF0000"/>
        <rFont val="Calibri"/>
        <family val="2"/>
        <scheme val="minor"/>
      </rPr>
      <t xml:space="preserve"> (converted from dollars)</t>
    </r>
  </si>
  <si>
    <r>
      <t>General funds plus Currency Reserve Fund total bank deposits in the United States including Philippine National Bank</t>
    </r>
    <r>
      <rPr>
        <sz val="11"/>
        <color rgb="FFFF0000"/>
        <rFont val="Calibri"/>
        <family val="2"/>
        <scheme val="minor"/>
      </rPr>
      <t xml:space="preserve"> (converted from dollars)</t>
    </r>
  </si>
  <si>
    <t>World silver-gold ratio</t>
  </si>
  <si>
    <t>Source of silver price in dollars: Henry E. Hilliard, "Silver," Commodity Statistics and Information, U.S. Geological Survey, https://minerals.usgs.gov/minerals/pubs/commodity/silver/880798.pdf, viewed June 23, 2017</t>
  </si>
  <si>
    <t>Source of world silver-gold ratio: Measuring Worth, www.measuringworth.com, viewed June 23, 2017</t>
  </si>
  <si>
    <t>Measuring Worth, www.measuringworth.com, viewed June 23, 2017</t>
  </si>
  <si>
    <t>Domestic assets (because at PNB)</t>
  </si>
  <si>
    <t>Foreign assets (beause metal)</t>
  </si>
  <si>
    <t>in original data</t>
  </si>
  <si>
    <t>Foreign assets (because mainly silver)</t>
  </si>
  <si>
    <t>See memo items</t>
  </si>
  <si>
    <t>Currency Reserve Fund deposits at U.S. domestic banks (converted from dollars)</t>
  </si>
  <si>
    <t>General funds plus Currency Reserve Fund total bank deposits at U.S. domestic banks (converted from dollars)</t>
  </si>
  <si>
    <t>Excluded (to avoid double counting)</t>
  </si>
  <si>
    <t>Average annual silver-gold ratio</t>
  </si>
  <si>
    <t>Average annual price of silver, U.S. cents per troy ounce</t>
  </si>
  <si>
    <t>Silver pesos in circulation (from Annual Currency Data sheet)</t>
  </si>
  <si>
    <t>Silver half-pesos in circulation (from Annual Currency Data sheet)</t>
  </si>
  <si>
    <t>Silver content of latest issue of silver pesos, troy ounces</t>
  </si>
  <si>
    <t>Silver content of latest issue of silver half-pesos, troy ounces</t>
  </si>
  <si>
    <t>Subsidiary coins in circulation</t>
  </si>
  <si>
    <t>Minor coins in circulation</t>
  </si>
  <si>
    <t>Silver content of lesser silver coins in circulation, troy counces (rough estimate)</t>
  </si>
  <si>
    <t>not avialable</t>
  </si>
  <si>
    <t>Official exchage rate, Philippine pesos per U.S. dollar (except market rate, 1920-1921)</t>
  </si>
  <si>
    <t>Lesser silver coins in circulation (from Annual Currency data sheet) (rough estimate to 1920)</t>
  </si>
  <si>
    <t>Total value of silver in silver coins, pesos (rough estimate)</t>
  </si>
  <si>
    <t>Reserve fund required by law, pesos</t>
  </si>
  <si>
    <t>Treasurer (1917: 47-50)</t>
  </si>
  <si>
    <t>Philippine government currency in circulation: coins, net (from Annual Currency Data sheet)</t>
  </si>
  <si>
    <t>Philippine government currency in circulation: Treasury certificates, net (from Annual Currency Data sheet)</t>
  </si>
  <si>
    <t>Foreign assets (because mostly silver)</t>
  </si>
  <si>
    <t>Synthethic balance sheet for Philipping government currency</t>
  </si>
  <si>
    <t>Bullion value of silver coins in circulation (roughly)</t>
  </si>
  <si>
    <t>Philippine government currency in circulation: total, where breakdown is unavailable</t>
  </si>
  <si>
    <t>Excluded</t>
  </si>
  <si>
    <t>In vaults</t>
  </si>
  <si>
    <t>Total printed</t>
  </si>
  <si>
    <t>Treasurer's Report (1904: 10)</t>
  </si>
  <si>
    <t>Treasurer's Report (1905:  8)</t>
  </si>
  <si>
    <t>Treasurer's Report (1906: 6)</t>
  </si>
  <si>
    <t>Treasurer's Report (1907: 5)</t>
  </si>
  <si>
    <t>Treasurer's Report (1908: 4-5)</t>
  </si>
  <si>
    <t>Certificate Redemption Fund / Silver Certificate Reserve / Treasury Certificate Fund (merged into Currency Fund, 1918-1922 so no separate balance sheet, re-established 1923-1948)</t>
  </si>
  <si>
    <t>Treasurer's Report (1909: 3-4)</t>
  </si>
  <si>
    <t>In Treasury vaults: U.S. currency (in U.S. currency)</t>
  </si>
  <si>
    <t>On deposit in United States (in U.S. currency)</t>
  </si>
  <si>
    <t>Certified check with local banks</t>
  </si>
  <si>
    <t>Fixed deposits with local banks</t>
  </si>
  <si>
    <t>Fixed deposits in United States (in U.S. currency)</t>
  </si>
  <si>
    <t>Equivalent in pesos of U.S. fixed deposits (calculated)</t>
  </si>
  <si>
    <t>Treasurer's Report (1910: 4)</t>
  </si>
  <si>
    <t>On deposit with local banks</t>
  </si>
  <si>
    <t>Treasurer's Report (1911: 4-5)</t>
  </si>
  <si>
    <t>Treasurer's Report (1912: 4-5)</t>
  </si>
  <si>
    <t>Treasurer's Report (1913: 4-5)</t>
  </si>
  <si>
    <t>All assets, not broken down in original source</t>
  </si>
  <si>
    <t>Other assets in Certifticate Fund</t>
  </si>
  <si>
    <t>Bullion value of silver assets in Silver Certificate Fund</t>
  </si>
  <si>
    <t>In Treasury vaults: U.S. gold coins (equivalent in pesos; calculated)</t>
  </si>
  <si>
    <t>See also addendum farther right</t>
  </si>
  <si>
    <t>Foreign assets (mainly)</t>
  </si>
  <si>
    <t>July 30</t>
  </si>
  <si>
    <t>Mexican and Spanish-Filipino currency in transit to U.S. Mint</t>
  </si>
  <si>
    <t>Treasurer (1904: 10, 19)</t>
  </si>
  <si>
    <t>Treasurer (1905: 7-8, 20)</t>
  </si>
  <si>
    <t>Treasurer (1906: 9-10, 17)</t>
  </si>
  <si>
    <t>Treasurer (1907: 22-23)</t>
  </si>
  <si>
    <t>Treasurer (1908: 38-40)</t>
  </si>
  <si>
    <t>Treasurer (1909: 30-31)</t>
  </si>
  <si>
    <t>Treasurer (1910: 33-35)</t>
  </si>
  <si>
    <t>Treasurer (1911: 27-29)</t>
  </si>
  <si>
    <t>Treasurer (1912: 36-37)</t>
  </si>
  <si>
    <t>Treasurer (1913: 37-38)</t>
  </si>
  <si>
    <t>Treasury certificates "in circulation or avalable therefor" for reserve caluculation purposes</t>
  </si>
  <si>
    <t>Outstanding certificates of indebtedness</t>
  </si>
  <si>
    <t>Reserve fund required against coins</t>
  </si>
  <si>
    <t>Reserve fund required against Treasury certificates</t>
  </si>
  <si>
    <t>Reserve fund required against certificates of indebtedness</t>
  </si>
  <si>
    <t>Certificates considered as available for circulation under Act No 3058</t>
  </si>
  <si>
    <t>Certificates in Treasury vaults NOT available for circulation under Act No 3058</t>
  </si>
  <si>
    <t>Philippine coinage "in circulation and available therefor" for reserve calculation purposes (figures 1935 onward are rough estimates)</t>
  </si>
  <si>
    <t>Coins considered as available for circulation under Act No 3058 (figures from 1935 onward are estimates)</t>
  </si>
  <si>
    <t>Coins in Treasury vaults NOT avallable for circulation under Act No 3058 (figures from 1935 onward are estimates)</t>
  </si>
  <si>
    <t>Gold Standard Fund (1923-1934): second form of statement / Exchange Standard Fund (1935-1945): first form of statement</t>
  </si>
  <si>
    <t>Exchange Standard Fund (1945-1949): second form of statement</t>
  </si>
  <si>
    <t>Held in Silver Certificate Fund</t>
  </si>
  <si>
    <t>Foreign assets total</t>
  </si>
  <si>
    <t>Budget Balance Graph</t>
  </si>
  <si>
    <t>Graph of government budget balance</t>
  </si>
  <si>
    <t>Gold Standard and Treasury Fund (to 1940)</t>
  </si>
  <si>
    <t>January 1919</t>
  </si>
  <si>
    <t>June 1919</t>
  </si>
  <si>
    <t>January 1920</t>
  </si>
  <si>
    <t>June 1920</t>
  </si>
  <si>
    <t>January 1921</t>
  </si>
  <si>
    <t>June 1921</t>
  </si>
  <si>
    <t>Budget balance graph</t>
  </si>
  <si>
    <t>Ryan Freedman "Did the Philippine Islands Have a Currency Board during the Amerian Colonialization Period?"</t>
  </si>
  <si>
    <t>Budget Balance (millon pesos)</t>
  </si>
  <si>
    <t>Graph of currency in circulation from 1924-1934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</si>
</sst>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0.0000"/>
  </numFmts>
  <fonts count="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indexed="8"/>
      <name val="Calibri"/>
      <family val="2"/>
    </font>
    <font>
      <b/>
      <sz val="14"/>
      <color indexed="8"/>
      <name val="Calibri"/>
      <family val="2"/>
    </font>
    <font>
      <sz val="11"/>
      <color indexed="8"/>
      <name val="Calibri"/>
      <family val="2"/>
    </font>
    <font>
      <b/>
      <sz val="11"/>
      <color rgb="FFFF0000"/>
      <name val="Calibri"/>
      <family val="2"/>
      <scheme val="minor"/>
    </font>
    <font>
      <b/>
      <sz val="14"/>
      <color theme="1"/>
      <name val="Calibri"/>
      <family val="2"/>
      <scheme val="minor"/>
    </font>
    <font>
      <sz val="11"/>
      <color theme="9" tint="-0.499984740745262"/>
      <name val="Calibri"/>
      <family val="2"/>
      <scheme val="minor"/>
    </font>
    <font>
      <sz val="11"/>
      <color theme="0"/>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
      <u/>
      <sz val="12"/>
      <color theme="10"/>
      <name val="Calibri"/>
      <family val="2"/>
      <scheme val="minor"/>
    </font>
    <font>
      <sz val="11"/>
      <name val="Calibri"/>
      <family val="2"/>
      <scheme val="minor"/>
    </font>
    <font>
      <sz val="11"/>
      <color theme="1"/>
      <name val="Calibri"/>
      <family val="2"/>
    </font>
    <font>
      <b/>
      <sz val="11"/>
      <name val="Calibri"/>
      <family val="2"/>
      <scheme val="minor"/>
    </font>
    <font>
      <sz val="10"/>
      <color theme="1"/>
      <name val="Arial"/>
      <family val="2"/>
    </font>
    <font>
      <sz val="10"/>
      <color indexed="8"/>
      <name val="Arial"/>
      <family val="2"/>
    </font>
    <font>
      <sz val="10"/>
      <color indexed="9"/>
      <name val="Arial"/>
      <family val="2"/>
    </font>
    <font>
      <sz val="10"/>
      <color indexed="20"/>
      <name val="Arial"/>
      <family val="2"/>
    </font>
    <font>
      <sz val="9"/>
      <name val="Arial"/>
      <family val="2"/>
    </font>
    <font>
      <b/>
      <sz val="10"/>
      <color indexed="52"/>
      <name val="Arial"/>
      <family val="2"/>
    </font>
    <font>
      <b/>
      <sz val="10"/>
      <color indexed="9"/>
      <name val="Arial"/>
      <family val="2"/>
    </font>
    <font>
      <sz val="10"/>
      <color indexed="8"/>
      <name val="Arial"/>
      <family val="2"/>
      <charset val="204"/>
    </font>
    <font>
      <sz val="12"/>
      <color theme="1"/>
      <name val="Calibri"/>
      <family val="2"/>
      <scheme val="minor"/>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theme="10"/>
      <name val="Arial"/>
      <family val="2"/>
    </font>
    <font>
      <sz val="10"/>
      <color indexed="62"/>
      <name val="Arial"/>
      <family val="2"/>
    </font>
    <font>
      <sz val="10"/>
      <color indexed="52"/>
      <name val="Arial"/>
      <family val="2"/>
    </font>
    <font>
      <sz val="10"/>
      <color indexed="60"/>
      <name val="Arial"/>
      <family val="2"/>
    </font>
    <font>
      <sz val="11"/>
      <color rgb="FF000000"/>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rgb="FFFF0000"/>
      <name val="Calibri"/>
      <family val="2"/>
    </font>
    <font>
      <b/>
      <sz val="11"/>
      <color theme="1"/>
      <name val="Calibri"/>
      <family val="2"/>
    </font>
    <font>
      <sz val="11"/>
      <name val="Calibri"/>
      <family val="2"/>
    </font>
    <font>
      <b/>
      <sz val="11"/>
      <color rgb="FFFF0000"/>
      <name val="Calibri"/>
      <family val="2"/>
    </font>
    <font>
      <b/>
      <sz val="14"/>
      <color theme="1"/>
      <name val="Calibri"/>
      <family val="2"/>
    </font>
    <font>
      <i/>
      <sz val="11"/>
      <color theme="1"/>
      <name val="Calibri"/>
      <family val="2"/>
      <scheme val="minor"/>
    </font>
    <font>
      <i/>
      <sz val="11"/>
      <color theme="1"/>
      <name val="Calibri"/>
      <family val="2"/>
    </font>
    <font>
      <i/>
      <sz val="11"/>
      <color rgb="FF000000"/>
      <name val="Calibri"/>
      <family val="2"/>
    </font>
    <font>
      <b/>
      <sz val="11"/>
      <name val="Calibri"/>
      <family val="2"/>
    </font>
    <font>
      <b/>
      <sz val="11"/>
      <color theme="1" tint="4.9989318521683403E-2"/>
      <name val="Calibri"/>
      <family val="2"/>
    </font>
    <font>
      <b/>
      <i/>
      <sz val="11"/>
      <color theme="1"/>
      <name val="Calibri"/>
      <family val="2"/>
    </font>
    <font>
      <b/>
      <sz val="11"/>
      <color rgb="FF000000"/>
      <name val="Calibri"/>
      <family val="2"/>
    </font>
    <font>
      <sz val="9"/>
      <color rgb="FF000000"/>
      <name val="Arial"/>
      <family val="2"/>
    </font>
  </fonts>
  <fills count="3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7" tint="-0.249977111117893"/>
        <bgColor indexed="64"/>
      </patternFill>
    </fill>
    <fill>
      <patternFill patternType="solid">
        <fgColor theme="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rgb="FFFF000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0" tint="-0.499984740745262"/>
        <bgColor indexed="64"/>
      </patternFill>
    </fill>
  </fills>
  <borders count="11">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0" borderId="0">
      <alignment vertical="center"/>
    </xf>
    <xf numFmtId="0" fontId="23" fillId="31" borderId="2" applyNumberFormat="0" applyAlignment="0" applyProtection="0"/>
    <xf numFmtId="0" fontId="23" fillId="31" borderId="2" applyNumberFormat="0" applyAlignment="0" applyProtection="0"/>
    <xf numFmtId="0" fontId="24" fillId="32" borderId="3" applyNumberFormat="0" applyAlignment="0" applyProtection="0"/>
    <xf numFmtId="0" fontId="24" fillId="32" borderId="3" applyNumberFormat="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3" fontId="27" fillId="0" borderId="0"/>
    <xf numFmtId="0" fontId="28" fillId="0" borderId="0" applyNumberFormat="0" applyFill="0" applyBorder="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0" borderId="4"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8" borderId="2" applyNumberFormat="0" applyAlignment="0" applyProtection="0"/>
    <xf numFmtId="0" fontId="34" fillId="18" borderId="2" applyNumberFormat="0" applyAlignment="0" applyProtection="0"/>
    <xf numFmtId="0" fontId="35" fillId="0" borderId="7" applyNumberFormat="0" applyFill="0" applyAlignment="0" applyProtection="0"/>
    <xf numFmtId="0" fontId="35" fillId="0" borderId="7" applyNumberFormat="0" applyFill="0" applyAlignment="0" applyProtection="0"/>
    <xf numFmtId="0" fontId="36" fillId="33" borderId="0" applyNumberFormat="0" applyBorder="0" applyAlignment="0" applyProtection="0"/>
    <xf numFmtId="0" fontId="36" fillId="33" borderId="0" applyNumberFormat="0" applyBorder="0" applyAlignment="0" applyProtection="0"/>
    <xf numFmtId="0" fontId="26" fillId="0" borderId="0"/>
    <xf numFmtId="0" fontId="37" fillId="0" borderId="0"/>
    <xf numFmtId="0" fontId="37" fillId="0" borderId="0"/>
    <xf numFmtId="0" fontId="27" fillId="0" borderId="0"/>
    <xf numFmtId="0" fontId="27"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37" fillId="0" borderId="0"/>
    <xf numFmtId="0" fontId="25" fillId="0" borderId="0"/>
    <xf numFmtId="0" fontId="27" fillId="0" borderId="0"/>
    <xf numFmtId="0" fontId="25" fillId="0" borderId="0"/>
    <xf numFmtId="0" fontId="16" fillId="0" borderId="0"/>
    <xf numFmtId="0" fontId="37" fillId="0" borderId="0"/>
    <xf numFmtId="0" fontId="37" fillId="0" borderId="0"/>
    <xf numFmtId="0" fontId="19" fillId="0" borderId="0"/>
    <xf numFmtId="0" fontId="19" fillId="0" borderId="0"/>
    <xf numFmtId="0" fontId="19" fillId="0" borderId="0"/>
    <xf numFmtId="0" fontId="1" fillId="0" borderId="0"/>
    <xf numFmtId="0" fontId="27" fillId="0" borderId="0"/>
    <xf numFmtId="0" fontId="26" fillId="0" borderId="0"/>
    <xf numFmtId="0" fontId="19" fillId="34" borderId="8" applyNumberFormat="0" applyFont="0" applyAlignment="0" applyProtection="0"/>
    <xf numFmtId="0" fontId="19" fillId="34" borderId="8" applyNumberFormat="0" applyFont="0" applyAlignment="0" applyProtection="0"/>
    <xf numFmtId="0" fontId="38" fillId="31" borderId="9" applyNumberFormat="0" applyAlignment="0" applyProtection="0"/>
    <xf numFmtId="0" fontId="38" fillId="31" borderId="9" applyNumberFormat="0" applyAlignment="0" applyProtection="0"/>
    <xf numFmtId="9" fontId="1" fillId="0" borderId="0" applyFont="0" applyFill="0" applyBorder="0" applyAlignment="0" applyProtection="0"/>
    <xf numFmtId="0" fontId="27"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4">
    <xf numFmtId="0" fontId="0" fillId="0" borderId="0" xfId="0"/>
    <xf numFmtId="4" fontId="0" fillId="0" borderId="0" xfId="0" applyNumberFormat="1"/>
    <xf numFmtId="0" fontId="0" fillId="0" borderId="0" xfId="0" applyNumberFormat="1"/>
    <xf numFmtId="4" fontId="3" fillId="0" borderId="0" xfId="0" applyNumberFormat="1" applyFont="1"/>
    <xf numFmtId="0" fontId="3" fillId="0" borderId="0" xfId="0" applyNumberFormat="1" applyFont="1"/>
    <xf numFmtId="0" fontId="2" fillId="0" borderId="0" xfId="0" applyNumberFormat="1" applyFont="1"/>
    <xf numFmtId="4" fontId="0" fillId="0" borderId="0" xfId="0" applyNumberFormat="1" applyAlignment="1">
      <alignment horizontal="right"/>
    </xf>
    <xf numFmtId="4" fontId="3" fillId="0" borderId="0" xfId="0" applyNumberFormat="1" applyFont="1" applyAlignment="1">
      <alignment horizontal="right"/>
    </xf>
    <xf numFmtId="4" fontId="7" fillId="0" borderId="0" xfId="0" applyNumberFormat="1" applyFont="1"/>
    <xf numFmtId="4" fontId="0" fillId="0" borderId="0" xfId="0" applyNumberFormat="1" applyFont="1"/>
    <xf numFmtId="4" fontId="4" fillId="0" borderId="0" xfId="0" applyNumberFormat="1" applyFont="1"/>
    <xf numFmtId="4" fontId="0" fillId="2" borderId="0" xfId="0" applyNumberFormat="1" applyFill="1"/>
    <xf numFmtId="4" fontId="1" fillId="0" borderId="0" xfId="1" applyNumberFormat="1" applyFont="1"/>
    <xf numFmtId="0" fontId="6" fillId="0" borderId="0" xfId="0" applyNumberFormat="1" applyFont="1"/>
    <xf numFmtId="0" fontId="0" fillId="0" borderId="0" xfId="0" applyNumberFormat="1" applyFont="1"/>
    <xf numFmtId="0" fontId="4" fillId="0" borderId="0" xfId="0" applyNumberFormat="1" applyFont="1" applyAlignment="1">
      <alignment horizontal="center"/>
    </xf>
    <xf numFmtId="0" fontId="4" fillId="0" borderId="0" xfId="0" applyNumberFormat="1" applyFont="1"/>
    <xf numFmtId="0" fontId="0" fillId="2" borderId="0" xfId="0" applyNumberFormat="1" applyFill="1"/>
    <xf numFmtId="0" fontId="7" fillId="0" borderId="0" xfId="0" applyNumberFormat="1" applyFont="1"/>
    <xf numFmtId="4" fontId="3" fillId="0" borderId="0" xfId="0" applyNumberFormat="1" applyFont="1" applyAlignment="1">
      <alignment horizontal="left"/>
    </xf>
    <xf numFmtId="4" fontId="0" fillId="0" borderId="0" xfId="0" applyNumberFormat="1" applyAlignment="1">
      <alignment horizontal="left"/>
    </xf>
    <xf numFmtId="4" fontId="3" fillId="0" borderId="0" xfId="0" applyNumberFormat="1" applyFont="1" applyAlignment="1">
      <alignment horizontal="center"/>
    </xf>
    <xf numFmtId="4" fontId="0" fillId="0" borderId="0" xfId="0" applyNumberFormat="1" applyAlignment="1">
      <alignment horizontal="center"/>
    </xf>
    <xf numFmtId="0" fontId="3" fillId="0" borderId="0" xfId="0" applyNumberFormat="1" applyFont="1" applyAlignment="1">
      <alignment horizontal="left"/>
    </xf>
    <xf numFmtId="0" fontId="0" fillId="0" borderId="0" xfId="0" applyNumberFormat="1" applyAlignment="1">
      <alignment horizontal="left"/>
    </xf>
    <xf numFmtId="4" fontId="0" fillId="0" borderId="0" xfId="0" applyNumberFormat="1" applyFont="1" applyAlignment="1">
      <alignment horizontal="right"/>
    </xf>
    <xf numFmtId="0" fontId="0" fillId="0" borderId="0" xfId="0" applyNumberFormat="1" applyAlignment="1">
      <alignment horizontal="center"/>
    </xf>
    <xf numFmtId="0" fontId="0" fillId="0" borderId="0" xfId="0" quotePrefix="1" applyNumberFormat="1" applyAlignment="1">
      <alignment horizontal="center"/>
    </xf>
    <xf numFmtId="0" fontId="2" fillId="0" borderId="0" xfId="0" applyNumberFormat="1" applyFont="1" applyAlignment="1">
      <alignment horizontal="left"/>
    </xf>
    <xf numFmtId="0" fontId="3" fillId="0" borderId="0" xfId="0" applyNumberFormat="1" applyFont="1" applyAlignment="1">
      <alignment horizontal="center"/>
    </xf>
    <xf numFmtId="0" fontId="7" fillId="0" borderId="0" xfId="0" applyNumberFormat="1" applyFont="1" applyAlignment="1">
      <alignment horizontal="left"/>
    </xf>
    <xf numFmtId="0" fontId="0" fillId="0" borderId="0" xfId="0" applyNumberFormat="1" applyFont="1" applyAlignment="1">
      <alignment horizontal="left"/>
    </xf>
    <xf numFmtId="0" fontId="9" fillId="0" borderId="0" xfId="0" applyNumberFormat="1" applyFont="1" applyAlignment="1">
      <alignment horizontal="left"/>
    </xf>
    <xf numFmtId="4" fontId="9" fillId="0" borderId="0" xfId="0" applyNumberFormat="1" applyFont="1"/>
    <xf numFmtId="4" fontId="2" fillId="0" borderId="0" xfId="0" applyNumberFormat="1" applyFont="1" applyAlignment="1">
      <alignment horizontal="right"/>
    </xf>
    <xf numFmtId="4" fontId="2" fillId="0" borderId="0" xfId="0" applyNumberFormat="1" applyFont="1"/>
    <xf numFmtId="0" fontId="0" fillId="5" borderId="0" xfId="0" applyNumberFormat="1" applyFill="1" applyAlignment="1">
      <alignment horizontal="left"/>
    </xf>
    <xf numFmtId="0" fontId="0" fillId="6" borderId="0" xfId="0" applyNumberFormat="1" applyFill="1" applyAlignment="1">
      <alignment horizontal="left"/>
    </xf>
    <xf numFmtId="0" fontId="3" fillId="0" borderId="0" xfId="0" applyNumberFormat="1" applyFont="1" applyAlignment="1"/>
    <xf numFmtId="0" fontId="0" fillId="0" borderId="0" xfId="0" applyNumberFormat="1" applyAlignment="1"/>
    <xf numFmtId="4" fontId="0" fillId="0" borderId="0" xfId="0" applyNumberFormat="1" applyAlignment="1"/>
    <xf numFmtId="4" fontId="0" fillId="3" borderId="0" xfId="0" applyNumberFormat="1" applyFill="1" applyAlignment="1"/>
    <xf numFmtId="9" fontId="0" fillId="0" borderId="0" xfId="2" applyFont="1"/>
    <xf numFmtId="0" fontId="3" fillId="0" borderId="0" xfId="0" applyFont="1"/>
    <xf numFmtId="0" fontId="8" fillId="0" borderId="0" xfId="0" applyFont="1"/>
    <xf numFmtId="0" fontId="11" fillId="0" borderId="1" xfId="0" applyFont="1" applyBorder="1"/>
    <xf numFmtId="0" fontId="12" fillId="0" borderId="0" xfId="0" applyFont="1"/>
    <xf numFmtId="0" fontId="0" fillId="0" borderId="1" xfId="0" applyBorder="1"/>
    <xf numFmtId="0" fontId="13" fillId="0" borderId="0" xfId="0" applyFont="1"/>
    <xf numFmtId="0" fontId="14" fillId="0" borderId="0" xfId="3"/>
    <xf numFmtId="0" fontId="0" fillId="7" borderId="0" xfId="0" applyFill="1"/>
    <xf numFmtId="0" fontId="0" fillId="8" borderId="0" xfId="0" applyFill="1"/>
    <xf numFmtId="0" fontId="10" fillId="8" borderId="0" xfId="0" applyFont="1" applyFill="1"/>
    <xf numFmtId="164" fontId="3" fillId="0" borderId="0" xfId="0" applyNumberFormat="1" applyFont="1" applyAlignment="1">
      <alignment horizontal="right"/>
    </xf>
    <xf numFmtId="165" fontId="3" fillId="0" borderId="0" xfId="0" applyNumberFormat="1" applyFont="1"/>
    <xf numFmtId="0" fontId="5" fillId="0" borderId="0" xfId="0" applyNumberFormat="1" applyFont="1" applyAlignment="1"/>
    <xf numFmtId="4" fontId="0" fillId="0" borderId="0" xfId="0" applyNumberFormat="1" applyFill="1" applyAlignment="1">
      <alignment horizontal="left"/>
    </xf>
    <xf numFmtId="4" fontId="0" fillId="0" borderId="0" xfId="0" applyNumberFormat="1" applyFont="1" applyFill="1" applyAlignment="1">
      <alignment horizontal="right"/>
    </xf>
    <xf numFmtId="0" fontId="8" fillId="0" borderId="0" xfId="0" applyNumberFormat="1" applyFont="1" applyAlignment="1">
      <alignment horizontal="left"/>
    </xf>
    <xf numFmtId="0" fontId="3" fillId="0" borderId="0" xfId="0" applyNumberFormat="1" applyFont="1" applyFill="1" applyAlignment="1">
      <alignment horizontal="left"/>
    </xf>
    <xf numFmtId="4" fontId="0" fillId="0" borderId="0" xfId="0" applyNumberFormat="1" applyFont="1" applyFill="1" applyAlignment="1"/>
    <xf numFmtId="4" fontId="0" fillId="0" borderId="0" xfId="0" applyNumberFormat="1" applyFont="1" applyAlignment="1"/>
    <xf numFmtId="4" fontId="0" fillId="0" borderId="0" xfId="0" applyNumberFormat="1" applyFill="1" applyAlignment="1">
      <alignment horizontal="right"/>
    </xf>
    <xf numFmtId="4" fontId="0" fillId="0" borderId="0" xfId="0" applyNumberFormat="1" applyFill="1"/>
    <xf numFmtId="4" fontId="2" fillId="0" borderId="0" xfId="0" applyNumberFormat="1" applyFont="1" applyFill="1"/>
    <xf numFmtId="4" fontId="7" fillId="0" borderId="0" xfId="0" applyNumberFormat="1" applyFont="1" applyFill="1"/>
    <xf numFmtId="4" fontId="0" fillId="0" borderId="0" xfId="0" applyNumberFormat="1" applyFill="1" applyAlignment="1"/>
    <xf numFmtId="4" fontId="0" fillId="0" borderId="0" xfId="0" applyNumberFormat="1" applyFont="1" applyFill="1"/>
    <xf numFmtId="4" fontId="3" fillId="0" borderId="0" xfId="0" applyNumberFormat="1" applyFont="1" applyFill="1"/>
    <xf numFmtId="0" fontId="3" fillId="9" borderId="0" xfId="0" applyFont="1" applyFill="1"/>
    <xf numFmtId="0" fontId="0" fillId="0" borderId="0" xfId="0" applyFont="1"/>
    <xf numFmtId="0" fontId="0" fillId="8" borderId="0" xfId="0" applyFont="1" applyFill="1"/>
    <xf numFmtId="0" fontId="0" fillId="9" borderId="0" xfId="0" applyFont="1" applyFill="1"/>
    <xf numFmtId="0" fontId="0" fillId="9" borderId="0" xfId="0" applyNumberFormat="1" applyFont="1" applyFill="1" applyAlignment="1">
      <alignment horizontal="left"/>
    </xf>
    <xf numFmtId="0" fontId="0" fillId="7" borderId="0" xfId="0" applyFont="1" applyFill="1"/>
    <xf numFmtId="0" fontId="16" fillId="0" borderId="0" xfId="0" applyNumberFormat="1" applyFont="1"/>
    <xf numFmtId="4" fontId="0" fillId="10" borderId="0" xfId="0" applyNumberFormat="1" applyFill="1"/>
    <xf numFmtId="4" fontId="3" fillId="3" borderId="0" xfId="0" applyNumberFormat="1" applyFont="1" applyFill="1" applyAlignment="1"/>
    <xf numFmtId="0" fontId="0" fillId="0" borderId="0" xfId="0" applyNumberFormat="1" applyFont="1" applyAlignment="1"/>
    <xf numFmtId="0" fontId="0" fillId="0" borderId="0" xfId="0" quotePrefix="1" applyNumberFormat="1" applyFont="1" applyAlignment="1"/>
    <xf numFmtId="0" fontId="0" fillId="0" borderId="0" xfId="0" applyNumberFormat="1" applyFont="1" applyFill="1" applyAlignment="1"/>
    <xf numFmtId="4" fontId="2" fillId="0" borderId="0" xfId="1" applyNumberFormat="1" applyFont="1"/>
    <xf numFmtId="0" fontId="4" fillId="0" borderId="0" xfId="0" applyNumberFormat="1" applyFont="1" applyFill="1" applyAlignment="1">
      <alignment horizontal="center"/>
    </xf>
    <xf numFmtId="0" fontId="0" fillId="0" borderId="0" xfId="0" applyNumberFormat="1" applyFill="1" applyAlignment="1">
      <alignment horizontal="left"/>
    </xf>
    <xf numFmtId="0" fontId="2" fillId="0" borderId="0" xfId="0" applyNumberFormat="1" applyFont="1" applyFill="1" applyAlignment="1">
      <alignment horizontal="left"/>
    </xf>
    <xf numFmtId="0" fontId="7" fillId="0" borderId="0" xfId="0" applyNumberFormat="1" applyFont="1" applyFill="1" applyAlignment="1">
      <alignment horizontal="left"/>
    </xf>
    <xf numFmtId="0" fontId="3" fillId="0" borderId="0" xfId="0" applyNumberFormat="1" applyFont="1" applyFill="1" applyAlignment="1">
      <alignment horizontal="center"/>
    </xf>
    <xf numFmtId="0" fontId="6" fillId="0" borderId="0" xfId="0" quotePrefix="1" applyNumberFormat="1" applyFont="1" applyAlignment="1">
      <alignment horizontal="center"/>
    </xf>
    <xf numFmtId="0" fontId="17" fillId="11" borderId="0" xfId="0" applyNumberFormat="1" applyFont="1" applyFill="1" applyAlignment="1">
      <alignment horizontal="left"/>
    </xf>
    <xf numFmtId="0" fontId="0" fillId="0" borderId="0" xfId="0" applyNumberFormat="1" applyFont="1" applyAlignment="1">
      <alignment horizontal="center"/>
    </xf>
    <xf numFmtId="0" fontId="17" fillId="12" borderId="0" xfId="0" applyNumberFormat="1" applyFont="1" applyFill="1" applyAlignment="1">
      <alignment horizontal="left"/>
    </xf>
    <xf numFmtId="0" fontId="0" fillId="0" borderId="0" xfId="0" applyNumberFormat="1" applyFont="1" applyFill="1" applyAlignment="1">
      <alignment horizontal="center"/>
    </xf>
    <xf numFmtId="4" fontId="3" fillId="0" borderId="0" xfId="0" applyNumberFormat="1" applyFont="1" applyFill="1" applyAlignment="1">
      <alignment horizontal="center"/>
    </xf>
    <xf numFmtId="0" fontId="0" fillId="0" borderId="0" xfId="0" applyNumberFormat="1" applyFont="1" applyFill="1" applyAlignment="1">
      <alignment horizontal="left"/>
    </xf>
    <xf numFmtId="4" fontId="0" fillId="0" borderId="0" xfId="0" applyNumberFormat="1" applyFont="1" applyAlignment="1">
      <alignment horizontal="center"/>
    </xf>
    <xf numFmtId="4" fontId="0" fillId="0" borderId="0" xfId="0" applyNumberFormat="1" applyFont="1" applyFill="1" applyAlignment="1">
      <alignment horizontal="left"/>
    </xf>
    <xf numFmtId="16" fontId="6" fillId="0" borderId="0" xfId="0" quotePrefix="1" applyNumberFormat="1" applyFont="1" applyAlignment="1">
      <alignment horizontal="center"/>
    </xf>
    <xf numFmtId="0" fontId="6" fillId="0" borderId="0" xfId="0" quotePrefix="1" applyNumberFormat="1" applyFont="1" applyFill="1" applyAlignment="1">
      <alignment horizontal="center"/>
    </xf>
    <xf numFmtId="4" fontId="2" fillId="0" borderId="0" xfId="0" applyNumberFormat="1" applyFont="1" applyFill="1" applyAlignment="1"/>
    <xf numFmtId="4" fontId="2" fillId="3" borderId="0" xfId="0" applyNumberFormat="1" applyFont="1" applyFill="1" applyAlignment="1"/>
    <xf numFmtId="0" fontId="7" fillId="0" borderId="0" xfId="0" applyNumberFormat="1" applyFont="1" applyAlignment="1">
      <alignment horizontal="center"/>
    </xf>
    <xf numFmtId="0" fontId="9" fillId="0" borderId="0" xfId="0" applyNumberFormat="1" applyFont="1" applyFill="1" applyAlignment="1">
      <alignment horizontal="left"/>
    </xf>
    <xf numFmtId="0" fontId="15" fillId="0" borderId="0" xfId="0" applyNumberFormat="1" applyFont="1" applyAlignment="1">
      <alignment horizontal="left"/>
    </xf>
    <xf numFmtId="16" fontId="6" fillId="0" borderId="0" xfId="0" quotePrefix="1" applyNumberFormat="1" applyFont="1" applyAlignment="1">
      <alignment horizontal="left"/>
    </xf>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6" fillId="0" borderId="0" xfId="0" applyNumberFormat="1" applyFont="1" applyAlignment="1"/>
    <xf numFmtId="0" fontId="16" fillId="0" borderId="0" xfId="0" applyNumberFormat="1" applyFont="1" applyAlignment="1"/>
    <xf numFmtId="0" fontId="42" fillId="0" borderId="0" xfId="0" applyNumberFormat="1" applyFont="1" applyAlignment="1"/>
    <xf numFmtId="0" fontId="42" fillId="3" borderId="0" xfId="0" applyNumberFormat="1" applyFont="1" applyFill="1" applyAlignment="1"/>
    <xf numFmtId="0" fontId="16" fillId="3" borderId="0" xfId="0" applyNumberFormat="1" applyFont="1" applyFill="1" applyAlignment="1"/>
    <xf numFmtId="0" fontId="16" fillId="0" borderId="0" xfId="0" quotePrefix="1" applyNumberFormat="1" applyFont="1" applyAlignment="1"/>
    <xf numFmtId="0" fontId="16" fillId="0" borderId="0" xfId="0" applyNumberFormat="1" applyFont="1" applyFill="1" applyAlignment="1"/>
    <xf numFmtId="0" fontId="42" fillId="0" borderId="0" xfId="0" applyNumberFormat="1" applyFont="1" applyAlignment="1">
      <alignment horizontal="left"/>
    </xf>
    <xf numFmtId="0" fontId="16" fillId="0" borderId="0" xfId="0" applyNumberFormat="1" applyFont="1" applyAlignment="1">
      <alignment horizontal="center"/>
    </xf>
    <xf numFmtId="0" fontId="16" fillId="0" borderId="0" xfId="0" quotePrefix="1" applyNumberFormat="1" applyFont="1" applyAlignment="1">
      <alignment horizontal="center"/>
    </xf>
    <xf numFmtId="16" fontId="16" fillId="3" borderId="0" xfId="0" quotePrefix="1" applyNumberFormat="1" applyFont="1" applyFill="1" applyAlignment="1">
      <alignment horizontal="center"/>
    </xf>
    <xf numFmtId="0" fontId="16" fillId="3" borderId="0" xfId="0" applyNumberFormat="1" applyFont="1" applyFill="1" applyAlignment="1">
      <alignment horizontal="center"/>
    </xf>
    <xf numFmtId="0" fontId="43" fillId="0" borderId="0" xfId="0" applyNumberFormat="1" applyFont="1" applyAlignment="1">
      <alignment horizontal="center"/>
    </xf>
    <xf numFmtId="0" fontId="43" fillId="3" borderId="0" xfId="0" applyNumberFormat="1" applyFont="1" applyFill="1" applyAlignment="1">
      <alignment horizontal="center"/>
    </xf>
    <xf numFmtId="0" fontId="43" fillId="0" borderId="0" xfId="0" applyNumberFormat="1" applyFont="1" applyFill="1" applyAlignment="1">
      <alignment horizontal="center"/>
    </xf>
    <xf numFmtId="0" fontId="43" fillId="0" borderId="0" xfId="0" applyNumberFormat="1" applyFont="1" applyAlignment="1">
      <alignment horizontal="left"/>
    </xf>
    <xf numFmtId="0" fontId="16" fillId="0" borderId="0" xfId="0" applyNumberFormat="1" applyFont="1" applyAlignment="1">
      <alignment horizontal="left"/>
    </xf>
    <xf numFmtId="4" fontId="16" fillId="0" borderId="0" xfId="0" applyNumberFormat="1" applyFont="1" applyAlignment="1">
      <alignment horizontal="right"/>
    </xf>
    <xf numFmtId="4" fontId="16" fillId="3" borderId="0" xfId="0" applyNumberFormat="1" applyFont="1" applyFill="1" applyAlignment="1">
      <alignment horizontal="right"/>
    </xf>
    <xf numFmtId="4" fontId="16" fillId="0" borderId="0" xfId="0" applyNumberFormat="1" applyFont="1" applyFill="1" applyAlignment="1">
      <alignment horizontal="right"/>
    </xf>
    <xf numFmtId="0" fontId="44" fillId="0" borderId="0" xfId="0" applyNumberFormat="1" applyFont="1" applyAlignment="1">
      <alignment horizontal="left"/>
    </xf>
    <xf numFmtId="4" fontId="42" fillId="0" borderId="0" xfId="0" applyNumberFormat="1" applyFont="1" applyAlignment="1">
      <alignment horizontal="right"/>
    </xf>
    <xf numFmtId="0" fontId="45" fillId="0" borderId="0" xfId="0" applyNumberFormat="1" applyFont="1" applyAlignment="1">
      <alignment horizontal="left"/>
    </xf>
    <xf numFmtId="4" fontId="45" fillId="0" borderId="0" xfId="0" applyNumberFormat="1" applyFont="1" applyAlignment="1">
      <alignment horizontal="right"/>
    </xf>
    <xf numFmtId="4" fontId="43" fillId="0" borderId="0" xfId="0" applyNumberFormat="1" applyFont="1" applyAlignment="1">
      <alignment horizontal="right"/>
    </xf>
    <xf numFmtId="4" fontId="43" fillId="3" borderId="0" xfId="0" applyNumberFormat="1" applyFont="1" applyFill="1" applyAlignment="1">
      <alignment horizontal="right"/>
    </xf>
    <xf numFmtId="4" fontId="43" fillId="0" borderId="0" xfId="0" applyNumberFormat="1" applyFont="1" applyFill="1" applyAlignment="1">
      <alignment horizontal="right"/>
    </xf>
    <xf numFmtId="4" fontId="45" fillId="0" borderId="0" xfId="0" applyNumberFormat="1" applyFont="1" applyFill="1" applyAlignment="1">
      <alignment horizontal="right"/>
    </xf>
    <xf numFmtId="4" fontId="42" fillId="0" borderId="0" xfId="0" applyNumberFormat="1" applyFont="1" applyFill="1" applyAlignment="1">
      <alignment horizontal="right"/>
    </xf>
    <xf numFmtId="4" fontId="45" fillId="3" borderId="0" xfId="0" applyNumberFormat="1" applyFont="1" applyFill="1" applyAlignment="1">
      <alignment horizontal="right"/>
    </xf>
    <xf numFmtId="0" fontId="43" fillId="0" borderId="0" xfId="0" applyNumberFormat="1" applyFont="1" applyAlignment="1"/>
    <xf numFmtId="4" fontId="16" fillId="0" borderId="0" xfId="0" applyNumberFormat="1" applyFont="1" applyAlignment="1"/>
    <xf numFmtId="4" fontId="16" fillId="0" borderId="0" xfId="0" applyNumberFormat="1" applyFont="1" applyFill="1" applyAlignment="1"/>
    <xf numFmtId="4" fontId="16" fillId="3" borderId="0" xfId="0" applyNumberFormat="1" applyFont="1" applyFill="1" applyAlignment="1"/>
    <xf numFmtId="4" fontId="44" fillId="0" borderId="0" xfId="0" applyNumberFormat="1" applyFont="1" applyAlignment="1">
      <alignment horizontal="left"/>
    </xf>
    <xf numFmtId="0" fontId="43" fillId="0" borderId="0" xfId="5" applyFont="1"/>
    <xf numFmtId="4" fontId="16" fillId="0" borderId="0" xfId="6" applyNumberFormat="1" applyFont="1"/>
    <xf numFmtId="0" fontId="16" fillId="0" borderId="0" xfId="5" applyFont="1"/>
    <xf numFmtId="4" fontId="16" fillId="0" borderId="0" xfId="5" applyNumberFormat="1" applyFont="1"/>
    <xf numFmtId="4" fontId="43" fillId="0" borderId="0" xfId="6" applyNumberFormat="1" applyFont="1"/>
    <xf numFmtId="14" fontId="43" fillId="0" borderId="0" xfId="5" applyNumberFormat="1" applyFont="1" applyAlignment="1">
      <alignment horizontal="left"/>
    </xf>
    <xf numFmtId="4" fontId="37" fillId="0" borderId="0" xfId="6" applyNumberFormat="1" applyFont="1"/>
    <xf numFmtId="4" fontId="37" fillId="0" borderId="0" xfId="5" applyNumberFormat="1" applyFont="1"/>
    <xf numFmtId="0" fontId="46" fillId="0" borderId="0" xfId="5" applyFont="1"/>
    <xf numFmtId="14" fontId="16" fillId="0" borderId="0" xfId="5" applyNumberFormat="1" applyFont="1"/>
    <xf numFmtId="0" fontId="26" fillId="0" borderId="0" xfId="0" applyFont="1"/>
    <xf numFmtId="0" fontId="0" fillId="0" borderId="0" xfId="0" applyAlignment="1"/>
    <xf numFmtId="0" fontId="16" fillId="0" borderId="0" xfId="0" applyFont="1" applyAlignment="1">
      <alignment horizontal="center"/>
    </xf>
    <xf numFmtId="0" fontId="37" fillId="0" borderId="0" xfId="0" applyFont="1" applyAlignment="1">
      <alignment horizontal="center"/>
    </xf>
    <xf numFmtId="0" fontId="16" fillId="0" borderId="0" xfId="0" applyFont="1" applyAlignment="1">
      <alignment horizontal="left"/>
    </xf>
    <xf numFmtId="0" fontId="37" fillId="0" borderId="0" xfId="0" applyFont="1" applyAlignment="1">
      <alignment horizontal="left"/>
    </xf>
    <xf numFmtId="0" fontId="0" fillId="0" borderId="0" xfId="0" applyFont="1" applyAlignment="1">
      <alignment horizontal="left"/>
    </xf>
    <xf numFmtId="4" fontId="45" fillId="0" borderId="0" xfId="1" applyNumberFormat="1" applyFont="1"/>
    <xf numFmtId="4" fontId="45" fillId="0" borderId="0" xfId="0" applyNumberFormat="1" applyFont="1" applyFill="1"/>
    <xf numFmtId="0" fontId="5" fillId="0" borderId="0" xfId="0" applyNumberFormat="1" applyFont="1" applyAlignment="1">
      <alignment horizontal="left"/>
    </xf>
    <xf numFmtId="0" fontId="6" fillId="0" borderId="0" xfId="0" applyNumberFormat="1" applyFont="1" applyAlignment="1">
      <alignment horizontal="left"/>
    </xf>
    <xf numFmtId="0" fontId="6" fillId="0" borderId="0" xfId="0" quotePrefix="1" applyNumberFormat="1" applyFont="1" applyFill="1" applyAlignment="1">
      <alignment horizontal="left"/>
    </xf>
    <xf numFmtId="0" fontId="15" fillId="0" borderId="0" xfId="0" applyNumberFormat="1" applyFont="1" applyFill="1" applyAlignment="1">
      <alignment horizontal="left"/>
    </xf>
    <xf numFmtId="4" fontId="50" fillId="0" borderId="0" xfId="0" applyNumberFormat="1" applyFont="1" applyAlignment="1">
      <alignment horizontal="right"/>
    </xf>
    <xf numFmtId="4" fontId="0" fillId="0" borderId="0" xfId="0" quotePrefix="1" applyNumberFormat="1" applyFont="1"/>
    <xf numFmtId="4" fontId="51" fillId="0" borderId="0" xfId="1" applyNumberFormat="1" applyFont="1"/>
    <xf numFmtId="4" fontId="43" fillId="0" borderId="0" xfId="1" applyNumberFormat="1" applyFont="1"/>
    <xf numFmtId="4" fontId="51" fillId="0" borderId="0" xfId="1" applyNumberFormat="1" applyFont="1" applyFill="1"/>
    <xf numFmtId="4" fontId="45" fillId="0" borderId="0" xfId="1" applyNumberFormat="1" applyFont="1" applyFill="1"/>
    <xf numFmtId="0" fontId="0" fillId="0" borderId="0" xfId="0" applyFill="1"/>
    <xf numFmtId="4" fontId="16" fillId="0" borderId="0" xfId="6" applyNumberFormat="1" applyFont="1" applyFill="1"/>
    <xf numFmtId="0" fontId="16" fillId="0" borderId="0" xfId="5" applyFont="1" applyFill="1"/>
    <xf numFmtId="0" fontId="16" fillId="3" borderId="0" xfId="5" applyFont="1" applyFill="1"/>
    <xf numFmtId="0" fontId="43" fillId="3" borderId="0" xfId="5" applyFont="1" applyFill="1"/>
    <xf numFmtId="0" fontId="37" fillId="3" borderId="0" xfId="5" applyFont="1" applyFill="1"/>
    <xf numFmtId="0" fontId="52" fillId="0" borderId="0" xfId="0" applyNumberFormat="1" applyFont="1" applyAlignment="1">
      <alignment horizontal="left"/>
    </xf>
    <xf numFmtId="4" fontId="43" fillId="0" borderId="0" xfId="1" applyNumberFormat="1" applyFont="1" applyFill="1"/>
    <xf numFmtId="0" fontId="0" fillId="0" borderId="0" xfId="0"/>
    <xf numFmtId="4" fontId="0" fillId="0" borderId="0" xfId="0" applyNumberFormat="1"/>
    <xf numFmtId="0" fontId="0" fillId="0" borderId="0" xfId="0" applyNumberFormat="1"/>
    <xf numFmtId="4" fontId="3" fillId="0" borderId="0" xfId="0" applyNumberFormat="1" applyFont="1"/>
    <xf numFmtId="0" fontId="2" fillId="0" borderId="0" xfId="0" applyNumberFormat="1" applyFont="1"/>
    <xf numFmtId="4" fontId="7" fillId="0" borderId="0" xfId="0" applyNumberFormat="1" applyFont="1"/>
    <xf numFmtId="4" fontId="0" fillId="3" borderId="0" xfId="0" applyNumberFormat="1" applyFont="1" applyFill="1"/>
    <xf numFmtId="4" fontId="0" fillId="2" borderId="0" xfId="0" applyNumberFormat="1" applyFill="1"/>
    <xf numFmtId="0" fontId="6" fillId="0" borderId="0" xfId="0" applyNumberFormat="1" applyFont="1"/>
    <xf numFmtId="0" fontId="0" fillId="0" borderId="0" xfId="0" applyNumberFormat="1" applyFont="1"/>
    <xf numFmtId="0" fontId="0" fillId="0" borderId="0" xfId="0" applyNumberFormat="1" applyAlignment="1">
      <alignment horizontal="center"/>
    </xf>
    <xf numFmtId="0" fontId="2" fillId="0" borderId="0" xfId="0" applyNumberFormat="1" applyFont="1" applyAlignment="1">
      <alignment horizontal="left"/>
    </xf>
    <xf numFmtId="0" fontId="0" fillId="0" borderId="0" xfId="0" applyNumberFormat="1" applyFont="1" applyAlignment="1">
      <alignment horizontal="left"/>
    </xf>
    <xf numFmtId="4" fontId="2" fillId="0" borderId="0" xfId="0" applyNumberFormat="1" applyFont="1"/>
    <xf numFmtId="4" fontId="0" fillId="0" borderId="0" xfId="0" applyNumberFormat="1" applyFill="1"/>
    <xf numFmtId="4" fontId="2" fillId="0" borderId="0" xfId="0" applyNumberFormat="1" applyFont="1" applyFill="1"/>
    <xf numFmtId="4" fontId="7" fillId="0" borderId="0" xfId="0" applyNumberFormat="1" applyFont="1" applyFill="1"/>
    <xf numFmtId="4" fontId="0" fillId="0" borderId="0" xfId="0" applyNumberFormat="1" applyFont="1" applyFill="1"/>
    <xf numFmtId="4" fontId="3" fillId="0" borderId="0" xfId="0" applyNumberFormat="1" applyFont="1" applyFill="1"/>
    <xf numFmtId="16" fontId="0" fillId="0" borderId="0" xfId="0" quotePrefix="1" applyNumberFormat="1" applyAlignment="1">
      <alignment horizontal="center"/>
    </xf>
    <xf numFmtId="0" fontId="4" fillId="0" borderId="0" xfId="0" applyNumberFormat="1" applyFont="1" applyFill="1" applyAlignment="1">
      <alignment horizontal="center"/>
    </xf>
    <xf numFmtId="0" fontId="6" fillId="0" borderId="0" xfId="0" quotePrefix="1" applyNumberFormat="1" applyFont="1" applyAlignment="1">
      <alignment horizontal="center"/>
    </xf>
    <xf numFmtId="0" fontId="0" fillId="0" borderId="0" xfId="0" applyNumberFormat="1" applyFont="1" applyFill="1" applyAlignment="1">
      <alignment horizontal="left"/>
    </xf>
    <xf numFmtId="16" fontId="6" fillId="0" borderId="0" xfId="0" quotePrefix="1" applyNumberFormat="1" applyFont="1" applyAlignment="1">
      <alignment horizontal="center"/>
    </xf>
    <xf numFmtId="0" fontId="6" fillId="0" borderId="0" xfId="0" quotePrefix="1" applyNumberFormat="1" applyFont="1" applyFill="1" applyAlignment="1">
      <alignment horizontal="center"/>
    </xf>
    <xf numFmtId="15" fontId="0" fillId="0" borderId="0" xfId="0" quotePrefix="1" applyNumberFormat="1" applyAlignment="1">
      <alignment horizontal="center"/>
    </xf>
    <xf numFmtId="16" fontId="15" fillId="0" borderId="0" xfId="0" quotePrefix="1" applyNumberFormat="1" applyFont="1" applyFill="1" applyAlignment="1">
      <alignment horizontal="center"/>
    </xf>
    <xf numFmtId="16" fontId="6" fillId="0" borderId="0" xfId="0" quotePrefix="1" applyNumberFormat="1" applyFont="1" applyAlignment="1">
      <alignment horizontal="left"/>
    </xf>
    <xf numFmtId="0" fontId="3" fillId="0" borderId="0" xfId="0" applyFont="1" applyAlignment="1">
      <alignment vertical="top" wrapText="1"/>
    </xf>
    <xf numFmtId="0" fontId="16" fillId="0" borderId="0" xfId="0" applyNumberFormat="1" applyFont="1" applyFill="1" applyAlignment="1"/>
    <xf numFmtId="0" fontId="16" fillId="0" borderId="0" xfId="0" quotePrefix="1" applyNumberFormat="1" applyFont="1" applyAlignment="1">
      <alignment horizontal="center"/>
    </xf>
    <xf numFmtId="0" fontId="43" fillId="0" borderId="0" xfId="0" applyNumberFormat="1" applyFont="1" applyAlignment="1">
      <alignment horizontal="center"/>
    </xf>
    <xf numFmtId="4" fontId="16" fillId="0" borderId="0" xfId="0" applyNumberFormat="1" applyFont="1" applyAlignment="1">
      <alignment horizontal="right"/>
    </xf>
    <xf numFmtId="4" fontId="42" fillId="0" borderId="0" xfId="0" applyNumberFormat="1" applyFont="1" applyAlignment="1">
      <alignment horizontal="right"/>
    </xf>
    <xf numFmtId="4" fontId="45" fillId="0" borderId="0" xfId="0" applyNumberFormat="1" applyFont="1" applyAlignment="1">
      <alignment horizontal="right"/>
    </xf>
    <xf numFmtId="4" fontId="43" fillId="0" borderId="0" xfId="0" applyNumberFormat="1" applyFont="1" applyAlignment="1">
      <alignment horizontal="right"/>
    </xf>
    <xf numFmtId="4" fontId="45" fillId="0" borderId="0" xfId="1" applyNumberFormat="1" applyFont="1"/>
    <xf numFmtId="0" fontId="15" fillId="0" borderId="0" xfId="0" applyNumberFormat="1" applyFont="1" applyFill="1" applyAlignment="1">
      <alignment horizontal="left"/>
    </xf>
    <xf numFmtId="14" fontId="16" fillId="0" borderId="0" xfId="5" applyNumberFormat="1" applyFont="1" applyAlignment="1">
      <alignment horizontal="left"/>
    </xf>
    <xf numFmtId="4" fontId="2" fillId="0" borderId="0" xfId="0" applyNumberFormat="1" applyFont="1" applyFill="1" applyAlignment="1">
      <alignment horizontal="right"/>
    </xf>
    <xf numFmtId="4" fontId="0" fillId="0" borderId="0" xfId="0" applyNumberFormat="1" applyFont="1" applyAlignment="1">
      <alignment horizontal="left"/>
    </xf>
    <xf numFmtId="4" fontId="3" fillId="0" borderId="0" xfId="0" applyNumberFormat="1" applyFont="1" applyAlignment="1"/>
    <xf numFmtId="2" fontId="0" fillId="0" borderId="0" xfId="0" applyNumberFormat="1"/>
    <xf numFmtId="0" fontId="0" fillId="0" borderId="0" xfId="0" applyAlignment="1">
      <alignment horizontal="left"/>
    </xf>
    <xf numFmtId="0" fontId="0" fillId="35" borderId="0" xfId="0" applyNumberFormat="1" applyFont="1" applyFill="1" applyAlignment="1">
      <alignment horizontal="left"/>
    </xf>
    <xf numFmtId="0" fontId="2" fillId="35" borderId="0" xfId="0" applyNumberFormat="1" applyFont="1" applyFill="1" applyAlignment="1">
      <alignment horizontal="left"/>
    </xf>
    <xf numFmtId="0" fontId="15" fillId="11" borderId="0" xfId="0" applyNumberFormat="1" applyFont="1" applyFill="1" applyAlignment="1">
      <alignment horizontal="left"/>
    </xf>
    <xf numFmtId="0" fontId="15" fillId="12" borderId="0" xfId="0" applyNumberFormat="1" applyFont="1" applyFill="1" applyAlignment="1">
      <alignment horizontal="left"/>
    </xf>
    <xf numFmtId="0" fontId="15" fillId="35" borderId="0" xfId="0" applyNumberFormat="1" applyFont="1" applyFill="1" applyAlignment="1"/>
    <xf numFmtId="0" fontId="17" fillId="35" borderId="0" xfId="0" applyNumberFormat="1" applyFont="1" applyFill="1" applyAlignment="1">
      <alignment horizontal="left"/>
    </xf>
    <xf numFmtId="0" fontId="15" fillId="35" borderId="0" xfId="0" applyNumberFormat="1" applyFont="1" applyFill="1" applyAlignment="1">
      <alignment horizontal="left"/>
    </xf>
    <xf numFmtId="4" fontId="15" fillId="10" borderId="0" xfId="0" applyNumberFormat="1" applyFont="1" applyFill="1"/>
    <xf numFmtId="0" fontId="15" fillId="5" borderId="0" xfId="0" applyNumberFormat="1" applyFont="1" applyFill="1" applyAlignment="1">
      <alignment horizontal="left"/>
    </xf>
    <xf numFmtId="0" fontId="15" fillId="6" borderId="0" xfId="0" applyNumberFormat="1" applyFont="1" applyFill="1" applyAlignment="1">
      <alignment horizontal="left"/>
    </xf>
    <xf numFmtId="2" fontId="0" fillId="0" borderId="0" xfId="0" applyNumberFormat="1" applyFont="1" applyAlignment="1">
      <alignment horizontal="right"/>
    </xf>
    <xf numFmtId="0" fontId="2" fillId="0" borderId="0" xfId="0" applyNumberFormat="1" applyFont="1" applyAlignment="1">
      <alignment horizontal="center"/>
    </xf>
    <xf numFmtId="2" fontId="2" fillId="0" borderId="0" xfId="0" applyNumberFormat="1" applyFont="1" applyAlignment="1">
      <alignment horizontal="right"/>
    </xf>
    <xf numFmtId="2" fontId="0" fillId="0" borderId="0" xfId="0" applyNumberFormat="1" applyFont="1" applyFill="1" applyAlignment="1">
      <alignment horizontal="right"/>
    </xf>
    <xf numFmtId="4" fontId="2" fillId="4" borderId="0" xfId="0" applyNumberFormat="1" applyFont="1" applyFill="1" applyAlignment="1">
      <alignment horizontal="right"/>
    </xf>
    <xf numFmtId="10" fontId="0" fillId="0" borderId="0" xfId="0" applyNumberFormat="1" applyFont="1" applyAlignment="1">
      <alignment horizontal="right"/>
    </xf>
    <xf numFmtId="0" fontId="37" fillId="0" borderId="0" xfId="0" applyFont="1" applyAlignment="1">
      <alignment horizontal="right"/>
    </xf>
    <xf numFmtId="0" fontId="0" fillId="0" borderId="0" xfId="0" applyNumberFormat="1" applyFont="1" applyAlignment="1">
      <alignment horizontal="right"/>
    </xf>
    <xf numFmtId="0" fontId="3" fillId="0" borderId="0" xfId="0" applyNumberFormat="1" applyFont="1" applyAlignment="1">
      <alignment horizontal="right"/>
    </xf>
    <xf numFmtId="0" fontId="0" fillId="0" borderId="0" xfId="0" applyAlignment="1">
      <alignment horizontal="right"/>
    </xf>
    <xf numFmtId="2" fontId="37" fillId="0" borderId="0" xfId="0" applyNumberFormat="1" applyFont="1" applyAlignment="1">
      <alignment horizontal="right"/>
    </xf>
    <xf numFmtId="2" fontId="37" fillId="0" borderId="0" xfId="0" applyNumberFormat="1" applyFont="1" applyAlignment="1">
      <alignment horizontal="right" vertical="center" wrapText="1"/>
    </xf>
    <xf numFmtId="4" fontId="42" fillId="0" borderId="0" xfId="0" applyNumberFormat="1" applyFont="1" applyAlignment="1">
      <alignment horizontal="right" vertical="center"/>
    </xf>
    <xf numFmtId="0" fontId="17" fillId="11" borderId="0" xfId="0" applyNumberFormat="1" applyFont="1" applyFill="1" applyAlignment="1">
      <alignment horizontal="right"/>
    </xf>
    <xf numFmtId="4" fontId="3" fillId="3" borderId="0" xfId="0" applyNumberFormat="1" applyFont="1" applyFill="1" applyAlignment="1">
      <alignment horizontal="right"/>
    </xf>
    <xf numFmtId="4" fontId="0" fillId="3" borderId="0" xfId="0" applyNumberFormat="1" applyFill="1" applyAlignment="1">
      <alignment horizontal="right"/>
    </xf>
    <xf numFmtId="4" fontId="9" fillId="3" borderId="0" xfId="0" applyNumberFormat="1" applyFont="1" applyFill="1" applyAlignment="1">
      <alignment horizontal="right"/>
    </xf>
    <xf numFmtId="4" fontId="9" fillId="0" borderId="0" xfId="0" applyNumberFormat="1" applyFont="1" applyAlignment="1">
      <alignment horizontal="right"/>
    </xf>
    <xf numFmtId="4" fontId="9" fillId="0" borderId="0" xfId="0" applyNumberFormat="1" applyFont="1" applyFill="1" applyAlignment="1">
      <alignment horizontal="right"/>
    </xf>
    <xf numFmtId="4" fontId="2" fillId="3" borderId="0" xfId="0" applyNumberFormat="1" applyFont="1" applyFill="1" applyAlignment="1">
      <alignment horizontal="right"/>
    </xf>
    <xf numFmtId="4" fontId="0" fillId="3" borderId="0" xfId="0" applyNumberFormat="1" applyFont="1" applyFill="1" applyAlignment="1">
      <alignment horizontal="right"/>
    </xf>
    <xf numFmtId="4" fontId="3" fillId="0" borderId="0" xfId="0" applyNumberFormat="1" applyFont="1" applyFill="1" applyAlignment="1">
      <alignment horizontal="right"/>
    </xf>
    <xf numFmtId="4" fontId="7" fillId="3" borderId="0" xfId="0" applyNumberFormat="1" applyFont="1" applyFill="1" applyAlignment="1">
      <alignment horizontal="right"/>
    </xf>
    <xf numFmtId="4" fontId="7" fillId="0" borderId="0" xfId="0" applyNumberFormat="1" applyFont="1" applyAlignment="1">
      <alignment horizontal="right"/>
    </xf>
    <xf numFmtId="4" fontId="7" fillId="0" borderId="0" xfId="0" applyNumberFormat="1" applyFont="1" applyFill="1" applyAlignment="1">
      <alignment horizontal="right"/>
    </xf>
    <xf numFmtId="0" fontId="17" fillId="12" borderId="0" xfId="0" applyNumberFormat="1" applyFont="1" applyFill="1" applyAlignment="1">
      <alignment horizontal="right"/>
    </xf>
    <xf numFmtId="0" fontId="3" fillId="3" borderId="0" xfId="0" applyNumberFormat="1" applyFont="1" applyFill="1" applyAlignment="1">
      <alignment horizontal="right"/>
    </xf>
    <xf numFmtId="4" fontId="0" fillId="10" borderId="0" xfId="0" applyNumberFormat="1" applyFill="1" applyAlignment="1">
      <alignment horizontal="right"/>
    </xf>
    <xf numFmtId="4" fontId="0" fillId="5" borderId="0" xfId="0" applyNumberFormat="1" applyFill="1" applyAlignment="1">
      <alignment horizontal="right"/>
    </xf>
    <xf numFmtId="4" fontId="0" fillId="6" borderId="0" xfId="0" applyNumberFormat="1" applyFill="1" applyAlignment="1">
      <alignment horizontal="right"/>
    </xf>
    <xf numFmtId="4" fontId="3" fillId="3" borderId="0" xfId="0" applyNumberFormat="1" applyFont="1" applyFill="1" applyAlignment="1">
      <alignment horizontal="left"/>
    </xf>
    <xf numFmtId="0" fontId="3" fillId="3" borderId="0" xfId="0" applyNumberFormat="1" applyFont="1" applyFill="1" applyAlignment="1"/>
    <xf numFmtId="0" fontId="3" fillId="0" borderId="0" xfId="0" applyNumberFormat="1" applyFont="1" applyFill="1" applyAlignment="1"/>
    <xf numFmtId="4" fontId="0" fillId="3" borderId="0" xfId="0" applyNumberFormat="1" applyFill="1" applyAlignment="1">
      <alignment horizontal="left"/>
    </xf>
    <xf numFmtId="4" fontId="37" fillId="0" borderId="0" xfId="0" applyNumberFormat="1" applyFont="1" applyFill="1" applyAlignment="1">
      <alignment horizontal="right"/>
    </xf>
    <xf numFmtId="10" fontId="37" fillId="0" borderId="0" xfId="0" applyNumberFormat="1" applyFont="1" applyAlignment="1">
      <alignment horizontal="right"/>
    </xf>
    <xf numFmtId="4" fontId="15" fillId="0" borderId="0" xfId="0" applyNumberFormat="1" applyFont="1" applyFill="1" applyAlignment="1">
      <alignment horizontal="right"/>
    </xf>
    <xf numFmtId="4" fontId="15" fillId="0" borderId="0" xfId="0" applyNumberFormat="1" applyFont="1" applyAlignment="1">
      <alignment horizontal="right"/>
    </xf>
    <xf numFmtId="4" fontId="15" fillId="3" borderId="0" xfId="0" applyNumberFormat="1" applyFont="1" applyFill="1" applyAlignment="1">
      <alignment horizontal="right"/>
    </xf>
    <xf numFmtId="4" fontId="15" fillId="0" borderId="0" xfId="0" applyNumberFormat="1" applyFont="1"/>
    <xf numFmtId="0" fontId="0" fillId="36" borderId="0" xfId="0" applyNumberFormat="1" applyFont="1" applyFill="1" applyAlignment="1">
      <alignment horizontal="left"/>
    </xf>
    <xf numFmtId="0" fontId="0" fillId="36" borderId="0" xfId="0" applyNumberFormat="1" applyFont="1" applyFill="1" applyAlignment="1">
      <alignment horizontal="center"/>
    </xf>
    <xf numFmtId="0" fontId="3" fillId="36" borderId="0" xfId="0" applyNumberFormat="1" applyFont="1" applyFill="1" applyAlignment="1">
      <alignment horizontal="center"/>
    </xf>
    <xf numFmtId="4" fontId="0" fillId="36" borderId="0" xfId="0" applyNumberFormat="1" applyFont="1" applyFill="1" applyAlignment="1"/>
    <xf numFmtId="4" fontId="0" fillId="36" borderId="0" xfId="0" applyNumberFormat="1" applyFont="1" applyFill="1"/>
    <xf numFmtId="4" fontId="0" fillId="36" borderId="0" xfId="0" applyNumberFormat="1" applyFont="1" applyFill="1" applyAlignment="1">
      <alignment horizontal="right"/>
    </xf>
    <xf numFmtId="4" fontId="3" fillId="36" borderId="0" xfId="0" applyNumberFormat="1" applyFont="1" applyFill="1"/>
    <xf numFmtId="0" fontId="3" fillId="36" borderId="0" xfId="0" applyNumberFormat="1" applyFont="1" applyFill="1" applyAlignment="1"/>
    <xf numFmtId="4" fontId="3" fillId="36" borderId="0" xfId="0" applyNumberFormat="1" applyFont="1" applyFill="1" applyAlignment="1">
      <alignment horizontal="center"/>
    </xf>
    <xf numFmtId="4" fontId="0" fillId="36" borderId="0" xfId="0" applyNumberFormat="1" applyFont="1" applyFill="1" applyAlignment="1">
      <alignment horizontal="left"/>
    </xf>
    <xf numFmtId="4" fontId="0" fillId="0" borderId="0" xfId="0" quotePrefix="1" applyNumberFormat="1" applyFont="1" applyAlignment="1">
      <alignment horizontal="center"/>
    </xf>
    <xf numFmtId="4" fontId="42" fillId="0" borderId="0" xfId="0" applyNumberFormat="1" applyFont="1" applyFill="1"/>
    <xf numFmtId="4" fontId="16" fillId="4" borderId="0" xfId="0" applyNumberFormat="1" applyFont="1" applyFill="1" applyAlignment="1">
      <alignment horizontal="right"/>
    </xf>
    <xf numFmtId="4" fontId="42" fillId="4" borderId="0" xfId="0" applyNumberFormat="1" applyFont="1" applyFill="1" applyAlignment="1">
      <alignment horizontal="right"/>
    </xf>
    <xf numFmtId="4" fontId="0" fillId="9" borderId="0" xfId="0" applyNumberFormat="1" applyFont="1" applyFill="1"/>
    <xf numFmtId="4" fontId="2" fillId="9" borderId="0" xfId="0" applyNumberFormat="1" applyFont="1" applyFill="1"/>
    <xf numFmtId="2" fontId="37" fillId="9" borderId="0" xfId="0" applyNumberFormat="1" applyFont="1" applyFill="1" applyAlignment="1">
      <alignment horizontal="right" vertical="center" wrapText="1"/>
    </xf>
    <xf numFmtId="2" fontId="0" fillId="0" borderId="0" xfId="4" applyNumberFormat="1" applyFont="1"/>
    <xf numFmtId="2" fontId="0" fillId="0" borderId="0" xfId="0" applyNumberFormat="1" applyFont="1"/>
    <xf numFmtId="0" fontId="0" fillId="0" borderId="0" xfId="0" quotePrefix="1"/>
    <xf numFmtId="0" fontId="3" fillId="0" borderId="0" xfId="0" applyFont="1" applyFill="1"/>
    <xf numFmtId="0" fontId="8" fillId="0" borderId="0" xfId="0" applyFont="1" applyFill="1"/>
    <xf numFmtId="0" fontId="16" fillId="0" borderId="0" xfId="0" applyFont="1" applyFill="1"/>
    <xf numFmtId="0" fontId="0" fillId="0" borderId="0" xfId="0" applyFont="1" applyFill="1"/>
    <xf numFmtId="0" fontId="53" fillId="0" borderId="0" xfId="0" applyFont="1" applyFill="1" applyAlignment="1">
      <alignment wrapText="1"/>
    </xf>
    <xf numFmtId="0" fontId="3" fillId="0" borderId="0" xfId="0" applyFont="1" applyFill="1" applyAlignment="1">
      <alignment wrapText="1"/>
    </xf>
    <xf numFmtId="0" fontId="43" fillId="0" borderId="0" xfId="0" applyFont="1" applyFill="1" applyAlignment="1">
      <alignment wrapText="1"/>
    </xf>
    <xf numFmtId="2" fontId="0" fillId="0" borderId="0" xfId="0" applyNumberFormat="1" applyFill="1"/>
    <xf numFmtId="0" fontId="37" fillId="0" borderId="0" xfId="0" applyFont="1" applyFill="1" applyAlignment="1">
      <alignment vertical="center" wrapText="1"/>
    </xf>
    <xf numFmtId="0" fontId="54" fillId="0" borderId="0" xfId="0" applyFont="1" applyFill="1" applyAlignment="1">
      <alignment vertical="center" wrapText="1"/>
    </xf>
    <xf numFmtId="0" fontId="37" fillId="0" borderId="0" xfId="0" applyFont="1" applyFill="1"/>
  </cellXfs>
  <cellStyles count="134">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60% - Accent1 2" xfId="31"/>
    <cellStyle name="60% - Accent1 3" xfId="32"/>
    <cellStyle name="60% - Accent2 2" xfId="33"/>
    <cellStyle name="60% - Accent2 3" xfId="34"/>
    <cellStyle name="60% - Accent3 2" xfId="35"/>
    <cellStyle name="60% - Accent3 3" xfId="36"/>
    <cellStyle name="60% - Accent4 2" xfId="37"/>
    <cellStyle name="60% - Accent4 3" xfId="38"/>
    <cellStyle name="60% - Accent5 2" xfId="39"/>
    <cellStyle name="60% - Accent5 3" xfId="40"/>
    <cellStyle name="60% - Accent6 2" xfId="41"/>
    <cellStyle name="60% - Accent6 3" xfId="42"/>
    <cellStyle name="Accent1 2" xfId="43"/>
    <cellStyle name="Accent1 3" xfId="44"/>
    <cellStyle name="Accent2 2" xfId="45"/>
    <cellStyle name="Accent2 3" xfId="46"/>
    <cellStyle name="Accent3 2" xfId="47"/>
    <cellStyle name="Accent3 3" xfId="48"/>
    <cellStyle name="Accent4 2" xfId="49"/>
    <cellStyle name="Accent4 3" xfId="50"/>
    <cellStyle name="Accent5 2" xfId="51"/>
    <cellStyle name="Accent5 3" xfId="52"/>
    <cellStyle name="Accent6 2" xfId="53"/>
    <cellStyle name="Accent6 3" xfId="54"/>
    <cellStyle name="Bad 2" xfId="55"/>
    <cellStyle name="Bad 3" xfId="56"/>
    <cellStyle name="bstitutes]_x000d__x000a_; The following mappings take Word for MS-DOS names, PostScript names, and TrueType_x000d__x000a_; names into account" xfId="57"/>
    <cellStyle name="Calculation 2" xfId="58"/>
    <cellStyle name="Calculation 3" xfId="59"/>
    <cellStyle name="Check Cell 2" xfId="60"/>
    <cellStyle name="Check Cell 3" xfId="61"/>
    <cellStyle name="Comma" xfId="4" builtinId="3"/>
    <cellStyle name="Comma 2" xfId="6"/>
    <cellStyle name="Comma 2 2" xfId="62"/>
    <cellStyle name="Comma 3" xfId="63"/>
    <cellStyle name="Comma 4" xfId="64"/>
    <cellStyle name="Comma 5" xfId="65"/>
    <cellStyle name="Comma 6" xfId="66"/>
    <cellStyle name="Comma0" xfId="67"/>
    <cellStyle name="Currency" xfId="1" builtinId="4"/>
    <cellStyle name="Explanatory Text 2" xfId="68"/>
    <cellStyle name="Explanatory Text 3" xfId="69"/>
    <cellStyle name="Good 2" xfId="70"/>
    <cellStyle name="Good 3" xfId="71"/>
    <cellStyle name="Heading 1 2" xfId="72"/>
    <cellStyle name="Heading 1 3" xfId="73"/>
    <cellStyle name="Heading 2 2" xfId="74"/>
    <cellStyle name="Heading 2 3" xfId="75"/>
    <cellStyle name="Heading 3 2" xfId="76"/>
    <cellStyle name="Heading 3 3" xfId="77"/>
    <cellStyle name="Heading 4 2" xfId="78"/>
    <cellStyle name="Heading 4 3" xfId="79"/>
    <cellStyle name="Hyperlink" xfId="3" builtinId="8"/>
    <cellStyle name="Hyperlink 2" xfId="80"/>
    <cellStyle name="Hyperlink 3" xfId="81"/>
    <cellStyle name="Input 2" xfId="82"/>
    <cellStyle name="Input 3" xfId="83"/>
    <cellStyle name="Linked Cell 2" xfId="84"/>
    <cellStyle name="Linked Cell 3" xfId="85"/>
    <cellStyle name="Neutral 2" xfId="86"/>
    <cellStyle name="Neutral 3" xfId="87"/>
    <cellStyle name="Normal" xfId="0" builtinId="0"/>
    <cellStyle name="Normal 10" xfId="88"/>
    <cellStyle name="Normal 10 2" xfId="89"/>
    <cellStyle name="Normal 10 2 2 2" xfId="90"/>
    <cellStyle name="Normal 14" xfId="91"/>
    <cellStyle name="Normal 14 2" xfId="92"/>
    <cellStyle name="Normal 2" xfId="5"/>
    <cellStyle name="Normal 2 2" xfId="93"/>
    <cellStyle name="Normal 2 2 11" xfId="94"/>
    <cellStyle name="Normal 2 2 22" xfId="95"/>
    <cellStyle name="Normal 2 2 23" xfId="96"/>
    <cellStyle name="Normal 2 2 24" xfId="97"/>
    <cellStyle name="Normal 2 2 25" xfId="98"/>
    <cellStyle name="Normal 2 2 52" xfId="99"/>
    <cellStyle name="Normal 2 2 53" xfId="100"/>
    <cellStyle name="Normal 2 2 7" xfId="101"/>
    <cellStyle name="Normal 2 2 73" xfId="102"/>
    <cellStyle name="Normal 2 2 74" xfId="103"/>
    <cellStyle name="Normal 2 2 8" xfId="104"/>
    <cellStyle name="Normal 2 2 9" xfId="105"/>
    <cellStyle name="Normal 2 2 96" xfId="106"/>
    <cellStyle name="Normal 2 3" xfId="107"/>
    <cellStyle name="Normal 2_c1516" xfId="108"/>
    <cellStyle name="Normal 23" xfId="109"/>
    <cellStyle name="Normal 3" xfId="110"/>
    <cellStyle name="Normal 3 2" xfId="111"/>
    <cellStyle name="Normal 3 3" xfId="112"/>
    <cellStyle name="Normal 3 4" xfId="113"/>
    <cellStyle name="Normal 30" xfId="114"/>
    <cellStyle name="Normal 39" xfId="115"/>
    <cellStyle name="Normal 4" xfId="116"/>
    <cellStyle name="Normal 5" xfId="117"/>
    <cellStyle name="Normal 6" xfId="118"/>
    <cellStyle name="Normal 7" xfId="119"/>
    <cellStyle name="Normal 8" xfId="120"/>
    <cellStyle name="Normal 9" xfId="121"/>
    <cellStyle name="Note 2" xfId="122"/>
    <cellStyle name="Note 3" xfId="123"/>
    <cellStyle name="Output 2" xfId="124"/>
    <cellStyle name="Output 3" xfId="125"/>
    <cellStyle name="Percent" xfId="2" builtinId="5"/>
    <cellStyle name="Percent 2" xfId="126"/>
    <cellStyle name="Standard 2" xfId="127"/>
    <cellStyle name="Title 2" xfId="128"/>
    <cellStyle name="Title 3" xfId="129"/>
    <cellStyle name="Total 2" xfId="130"/>
    <cellStyle name="Total 3" xfId="131"/>
    <cellStyle name="Warning Text 2" xfId="132"/>
    <cellStyle name="Warning Text 3" xfId="133"/>
  </cellStyles>
  <dxfs count="3">
    <dxf>
      <font>
        <b val="0"/>
        <i val="0"/>
        <strike val="0"/>
        <condense val="0"/>
        <extend val="0"/>
        <outline val="0"/>
        <shadow val="0"/>
        <u val="none"/>
        <vertAlign val="baseline"/>
        <sz val="11"/>
        <color theme="1"/>
        <name val="Calibri"/>
        <scheme val="minor"/>
      </font>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ysClr val="windowText" lastClr="000000"/>
                </a:solidFill>
                <a:latin typeface="+mn-lt"/>
                <a:ea typeface="+mn-ea"/>
                <a:cs typeface="+mn-cs"/>
              </a:defRPr>
            </a:pPr>
            <a:r>
              <a:rPr lang="en-US" sz="1600" b="1">
                <a:solidFill>
                  <a:sysClr val="windowText" lastClr="000000"/>
                </a:solidFill>
              </a:rPr>
              <a:t>Philippine Currency in Circulation (mn pesos)</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547686113792101"/>
          <c:y val="0.18243882253567675"/>
          <c:w val="0.88177616882689336"/>
          <c:h val="0.57789171365184244"/>
        </c:manualLayout>
      </c:layout>
      <c:lineChart>
        <c:grouping val="standard"/>
        <c:varyColors val="0"/>
        <c:ser>
          <c:idx val="0"/>
          <c:order val="0"/>
          <c:tx>
            <c:strRef>
              <c:f>'Currency Graph'!$H$3</c:f>
              <c:strCache>
                <c:ptCount val="1"/>
                <c:pt idx="0">
                  <c:v>Treasury Certifcates</c:v>
                </c:pt>
              </c:strCache>
            </c:strRef>
          </c:tx>
          <c:spPr>
            <a:ln w="22225" cap="rnd" cmpd="sng" algn="ctr">
              <a:solidFill>
                <a:srgbClr val="00B0F0"/>
              </a:solidFill>
              <a:round/>
            </a:ln>
            <a:effectLst/>
          </c:spPr>
          <c:marker>
            <c:symbol val="none"/>
          </c:marker>
          <c:cat>
            <c:numRef>
              <c:f>'Currency Graph'!$G$4:$G$41</c:f>
              <c:numCache>
                <c:formatCode>General</c:formatCode>
                <c:ptCount val="38"/>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pt idx="37">
                  <c:v>1941</c:v>
                </c:pt>
              </c:numCache>
            </c:numRef>
          </c:cat>
          <c:val>
            <c:numRef>
              <c:f>'Currency Graph'!$H$4:$H$41</c:f>
              <c:numCache>
                <c:formatCode>#,##0.00</c:formatCode>
                <c:ptCount val="38"/>
                <c:pt idx="0">
                  <c:v>6000000</c:v>
                </c:pt>
                <c:pt idx="1">
                  <c:v>10450000</c:v>
                </c:pt>
                <c:pt idx="2">
                  <c:v>13231374.5</c:v>
                </c:pt>
                <c:pt idx="3">
                  <c:v>21540708</c:v>
                </c:pt>
                <c:pt idx="4">
                  <c:v>18883699</c:v>
                </c:pt>
                <c:pt idx="5">
                  <c:v>22797454</c:v>
                </c:pt>
                <c:pt idx="6">
                  <c:v>26041840</c:v>
                </c:pt>
                <c:pt idx="7">
                  <c:v>25804534</c:v>
                </c:pt>
                <c:pt idx="8">
                  <c:v>26788055.5</c:v>
                </c:pt>
                <c:pt idx="9">
                  <c:v>28188662</c:v>
                </c:pt>
                <c:pt idx="10">
                  <c:v>30025914</c:v>
                </c:pt>
                <c:pt idx="11">
                  <c:v>29286856</c:v>
                </c:pt>
                <c:pt idx="12">
                  <c:v>41775333</c:v>
                </c:pt>
                <c:pt idx="13">
                  <c:v>69511699</c:v>
                </c:pt>
                <c:pt idx="14">
                  <c:v>95112523</c:v>
                </c:pt>
                <c:pt idx="15">
                  <c:v>99529635</c:v>
                </c:pt>
                <c:pt idx="16">
                  <c:v>66475215</c:v>
                </c:pt>
                <c:pt idx="17">
                  <c:v>39611616.299999997</c:v>
                </c:pt>
                <c:pt idx="18">
                  <c:v>36038354</c:v>
                </c:pt>
                <c:pt idx="19">
                  <c:v>49470183</c:v>
                </c:pt>
                <c:pt idx="20">
                  <c:v>62853582</c:v>
                </c:pt>
                <c:pt idx="21">
                  <c:v>71646912</c:v>
                </c:pt>
                <c:pt idx="22">
                  <c:v>66482914</c:v>
                </c:pt>
                <c:pt idx="23">
                  <c:v>75557456</c:v>
                </c:pt>
                <c:pt idx="24">
                  <c:v>84053032</c:v>
                </c:pt>
                <c:pt idx="25">
                  <c:v>83378320</c:v>
                </c:pt>
                <c:pt idx="26">
                  <c:v>71195566</c:v>
                </c:pt>
                <c:pt idx="27">
                  <c:v>64781483</c:v>
                </c:pt>
                <c:pt idx="28">
                  <c:v>54353268</c:v>
                </c:pt>
                <c:pt idx="29">
                  <c:v>66325056</c:v>
                </c:pt>
                <c:pt idx="30">
                  <c:v>68780395</c:v>
                </c:pt>
                <c:pt idx="31">
                  <c:v>86548756</c:v>
                </c:pt>
                <c:pt idx="32">
                  <c:v>108245557</c:v>
                </c:pt>
                <c:pt idx="33">
                  <c:v>127609788</c:v>
                </c:pt>
                <c:pt idx="34">
                  <c:v>174399322</c:v>
                </c:pt>
                <c:pt idx="35">
                  <c:v>162078886</c:v>
                </c:pt>
                <c:pt idx="36">
                  <c:v>155463462</c:v>
                </c:pt>
                <c:pt idx="37">
                  <c:v>155800000</c:v>
                </c:pt>
              </c:numCache>
            </c:numRef>
          </c:val>
          <c:smooth val="0"/>
          <c:extLst>
            <c:ext xmlns:c16="http://schemas.microsoft.com/office/drawing/2014/chart" uri="{C3380CC4-5D6E-409C-BE32-E72D297353CC}">
              <c16:uniqueId val="{00000000-E948-4522-A4E2-83C02D0638E2}"/>
            </c:ext>
          </c:extLst>
        </c:ser>
        <c:ser>
          <c:idx val="1"/>
          <c:order val="1"/>
          <c:tx>
            <c:strRef>
              <c:f>'Currency Graph'!$I$3</c:f>
              <c:strCache>
                <c:ptCount val="1"/>
                <c:pt idx="0">
                  <c:v>Post-1903  Coins</c:v>
                </c:pt>
              </c:strCache>
            </c:strRef>
          </c:tx>
          <c:spPr>
            <a:ln w="22225" cap="rnd" cmpd="sng" algn="ctr">
              <a:solidFill>
                <a:srgbClr val="FF0000"/>
              </a:solidFill>
              <a:round/>
            </a:ln>
            <a:effectLst/>
          </c:spPr>
          <c:marker>
            <c:symbol val="none"/>
          </c:marker>
          <c:cat>
            <c:numRef>
              <c:f>'Currency Graph'!$G$4:$G$41</c:f>
              <c:numCache>
                <c:formatCode>General</c:formatCode>
                <c:ptCount val="38"/>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pt idx="37">
                  <c:v>1941</c:v>
                </c:pt>
              </c:numCache>
            </c:numRef>
          </c:cat>
          <c:val>
            <c:numRef>
              <c:f>'Currency Graph'!$I$4:$I$41</c:f>
              <c:numCache>
                <c:formatCode>#,##0.00</c:formatCode>
                <c:ptCount val="38"/>
                <c:pt idx="0">
                  <c:v>3057127</c:v>
                </c:pt>
                <c:pt idx="1">
                  <c:v>17710667</c:v>
                </c:pt>
                <c:pt idx="2">
                  <c:v>16799037.100000001</c:v>
                </c:pt>
                <c:pt idx="3">
                  <c:v>22785860.25</c:v>
                </c:pt>
                <c:pt idx="4">
                  <c:v>19811012.039999999</c:v>
                </c:pt>
                <c:pt idx="5">
                  <c:v>18532024.59</c:v>
                </c:pt>
                <c:pt idx="6">
                  <c:v>20674773.809999999</c:v>
                </c:pt>
                <c:pt idx="7">
                  <c:v>19050704.390000001</c:v>
                </c:pt>
                <c:pt idx="8">
                  <c:v>19819923.350000001</c:v>
                </c:pt>
                <c:pt idx="9">
                  <c:v>18412206.920000002</c:v>
                </c:pt>
                <c:pt idx="10">
                  <c:v>17144331.93</c:v>
                </c:pt>
                <c:pt idx="11">
                  <c:v>16693915.76</c:v>
                </c:pt>
                <c:pt idx="12">
                  <c:v>19442528.539999999</c:v>
                </c:pt>
                <c:pt idx="13">
                  <c:v>22931257.07</c:v>
                </c:pt>
                <c:pt idx="14">
                  <c:v>25669147.879999999</c:v>
                </c:pt>
                <c:pt idx="15">
                  <c:v>24178945.010000002</c:v>
                </c:pt>
                <c:pt idx="16">
                  <c:v>24745082.68</c:v>
                </c:pt>
                <c:pt idx="17">
                  <c:v>21812451.850000001</c:v>
                </c:pt>
                <c:pt idx="18">
                  <c:v>19787533.495000001</c:v>
                </c:pt>
                <c:pt idx="19">
                  <c:v>19590313.550000001</c:v>
                </c:pt>
                <c:pt idx="20">
                  <c:v>19822339.489999998</c:v>
                </c:pt>
                <c:pt idx="21">
                  <c:v>20933676.585000001</c:v>
                </c:pt>
                <c:pt idx="22">
                  <c:v>21150672.024999999</c:v>
                </c:pt>
                <c:pt idx="23">
                  <c:v>21210934.425000001</c:v>
                </c:pt>
                <c:pt idx="24">
                  <c:v>21673280.550000001</c:v>
                </c:pt>
                <c:pt idx="25">
                  <c:v>21580649.57</c:v>
                </c:pt>
                <c:pt idx="26">
                  <c:v>20418479.32</c:v>
                </c:pt>
                <c:pt idx="27">
                  <c:v>18940439.170000002</c:v>
                </c:pt>
                <c:pt idx="28">
                  <c:v>17855195.030000001</c:v>
                </c:pt>
                <c:pt idx="29">
                  <c:v>18029982.59</c:v>
                </c:pt>
                <c:pt idx="30">
                  <c:v>18349110.07</c:v>
                </c:pt>
                <c:pt idx="31">
                  <c:v>18770541.649999999</c:v>
                </c:pt>
                <c:pt idx="32">
                  <c:v>19832398.949999999</c:v>
                </c:pt>
                <c:pt idx="33">
                  <c:v>22202645.920000002</c:v>
                </c:pt>
                <c:pt idx="34">
                  <c:v>22562309.57</c:v>
                </c:pt>
                <c:pt idx="35">
                  <c:v>22990914.629999995</c:v>
                </c:pt>
                <c:pt idx="36">
                  <c:v>22765947.91</c:v>
                </c:pt>
                <c:pt idx="37">
                  <c:v>22497675</c:v>
                </c:pt>
              </c:numCache>
            </c:numRef>
          </c:val>
          <c:smooth val="0"/>
          <c:extLst>
            <c:ext xmlns:c16="http://schemas.microsoft.com/office/drawing/2014/chart" uri="{C3380CC4-5D6E-409C-BE32-E72D297353CC}">
              <c16:uniqueId val="{00000001-E948-4522-A4E2-83C02D0638E2}"/>
            </c:ext>
          </c:extLst>
        </c:ser>
        <c:ser>
          <c:idx val="2"/>
          <c:order val="2"/>
          <c:tx>
            <c:strRef>
              <c:f>'Currency Graph'!$J$3</c:f>
              <c:strCache>
                <c:ptCount val="1"/>
                <c:pt idx="0">
                  <c:v>Bank Notes</c:v>
                </c:pt>
              </c:strCache>
            </c:strRef>
          </c:tx>
          <c:spPr>
            <a:ln w="22225" cap="rnd" cmpd="sng" algn="ctr">
              <a:solidFill>
                <a:srgbClr val="7030A0"/>
              </a:solidFill>
              <a:prstDash val="sysDash"/>
              <a:round/>
            </a:ln>
            <a:effectLst/>
          </c:spPr>
          <c:marker>
            <c:symbol val="none"/>
          </c:marker>
          <c:cat>
            <c:numRef>
              <c:f>'Currency Graph'!$G$4:$G$41</c:f>
              <c:numCache>
                <c:formatCode>General</c:formatCode>
                <c:ptCount val="38"/>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pt idx="37">
                  <c:v>1941</c:v>
                </c:pt>
              </c:numCache>
            </c:numRef>
          </c:cat>
          <c:val>
            <c:numRef>
              <c:f>'Currency Graph'!$J$4:$J$41</c:f>
              <c:numCache>
                <c:formatCode>#,##0.00</c:formatCode>
                <c:ptCount val="38"/>
                <c:pt idx="0">
                  <c:v>855367.5</c:v>
                </c:pt>
                <c:pt idx="1">
                  <c:v>784287</c:v>
                </c:pt>
                <c:pt idx="2">
                  <c:v>1178625.3999999985</c:v>
                </c:pt>
                <c:pt idx="3">
                  <c:v>275596.2</c:v>
                </c:pt>
                <c:pt idx="4">
                  <c:v>1643271</c:v>
                </c:pt>
                <c:pt idx="5">
                  <c:v>199129.14999999851</c:v>
                </c:pt>
                <c:pt idx="6">
                  <c:v>2038083.55</c:v>
                </c:pt>
                <c:pt idx="7">
                  <c:v>3300348.76</c:v>
                </c:pt>
                <c:pt idx="8">
                  <c:v>5447914.1200000001</c:v>
                </c:pt>
                <c:pt idx="9">
                  <c:v>5433519.7999999998</c:v>
                </c:pt>
                <c:pt idx="10">
                  <c:v>5404871.8099999996</c:v>
                </c:pt>
                <c:pt idx="11">
                  <c:v>5304135</c:v>
                </c:pt>
                <c:pt idx="12">
                  <c:v>5841327.5</c:v>
                </c:pt>
                <c:pt idx="13">
                  <c:v>10137357.5</c:v>
                </c:pt>
                <c:pt idx="14">
                  <c:v>10370212.15</c:v>
                </c:pt>
                <c:pt idx="15">
                  <c:v>22868376.100000001</c:v>
                </c:pt>
                <c:pt idx="16">
                  <c:v>33268941.949999999</c:v>
                </c:pt>
                <c:pt idx="17">
                  <c:v>42237751.75</c:v>
                </c:pt>
                <c:pt idx="18">
                  <c:v>41391580.200000003</c:v>
                </c:pt>
                <c:pt idx="19">
                  <c:v>41328836.700000003</c:v>
                </c:pt>
                <c:pt idx="20">
                  <c:v>41304059.200000003</c:v>
                </c:pt>
                <c:pt idx="21">
                  <c:v>39620984.200000003</c:v>
                </c:pt>
                <c:pt idx="22">
                  <c:v>36011683</c:v>
                </c:pt>
                <c:pt idx="23">
                  <c:v>30677698.699999999</c:v>
                </c:pt>
                <c:pt idx="24">
                  <c:v>23894245</c:v>
                </c:pt>
                <c:pt idx="25">
                  <c:v>18579100.100000001</c:v>
                </c:pt>
                <c:pt idx="26">
                  <c:v>16904359.099999998</c:v>
                </c:pt>
                <c:pt idx="27">
                  <c:v>15324414.5</c:v>
                </c:pt>
                <c:pt idx="28">
                  <c:v>16359296.67</c:v>
                </c:pt>
                <c:pt idx="29">
                  <c:v>15587649.369999999</c:v>
                </c:pt>
                <c:pt idx="30">
                  <c:v>14262914.869999999</c:v>
                </c:pt>
                <c:pt idx="31">
                  <c:v>11403395.27</c:v>
                </c:pt>
                <c:pt idx="32">
                  <c:v>11686065.42</c:v>
                </c:pt>
                <c:pt idx="33">
                  <c:v>11676992.470000001</c:v>
                </c:pt>
                <c:pt idx="34">
                  <c:v>8476260.4699999988</c:v>
                </c:pt>
                <c:pt idx="35">
                  <c:v>6682249.4699999997</c:v>
                </c:pt>
                <c:pt idx="36">
                  <c:v>4888238.4700000007</c:v>
                </c:pt>
                <c:pt idx="37">
                  <c:v>4802325</c:v>
                </c:pt>
              </c:numCache>
            </c:numRef>
          </c:val>
          <c:smooth val="0"/>
          <c:extLst>
            <c:ext xmlns:c16="http://schemas.microsoft.com/office/drawing/2014/chart" uri="{C3380CC4-5D6E-409C-BE32-E72D297353CC}">
              <c16:uniqueId val="{00000002-E948-4522-A4E2-83C02D0638E2}"/>
            </c:ext>
          </c:extLst>
        </c:ser>
        <c:ser>
          <c:idx val="3"/>
          <c:order val="3"/>
          <c:tx>
            <c:strRef>
              <c:f>'Currency Graph'!$K$3</c:f>
              <c:strCache>
                <c:ptCount val="1"/>
                <c:pt idx="0">
                  <c:v>Total</c:v>
                </c:pt>
              </c:strCache>
            </c:strRef>
          </c:tx>
          <c:spPr>
            <a:ln w="38100" cap="rnd" cmpd="sng" algn="ctr">
              <a:solidFill>
                <a:schemeClr val="tx1"/>
              </a:solidFill>
              <a:round/>
            </a:ln>
            <a:effectLst/>
          </c:spPr>
          <c:marker>
            <c:symbol val="none"/>
          </c:marker>
          <c:cat>
            <c:numRef>
              <c:f>'Currency Graph'!$G$4:$G$41</c:f>
              <c:numCache>
                <c:formatCode>General</c:formatCode>
                <c:ptCount val="38"/>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pt idx="37">
                  <c:v>1941</c:v>
                </c:pt>
              </c:numCache>
            </c:numRef>
          </c:cat>
          <c:val>
            <c:numRef>
              <c:f>'Currency Graph'!$K$4:$K$41</c:f>
              <c:numCache>
                <c:formatCode>#,##0.00</c:formatCode>
                <c:ptCount val="38"/>
                <c:pt idx="0">
                  <c:v>9912494.5</c:v>
                </c:pt>
                <c:pt idx="1">
                  <c:v>28944954</c:v>
                </c:pt>
                <c:pt idx="2">
                  <c:v>31209037</c:v>
                </c:pt>
                <c:pt idx="3">
                  <c:v>44602164.450000003</c:v>
                </c:pt>
                <c:pt idx="4">
                  <c:v>40337982.039999999</c:v>
                </c:pt>
                <c:pt idx="5">
                  <c:v>41528607.740000002</c:v>
                </c:pt>
                <c:pt idx="6">
                  <c:v>48754697.359999999</c:v>
                </c:pt>
                <c:pt idx="7">
                  <c:v>48155587.149999999</c:v>
                </c:pt>
                <c:pt idx="8">
                  <c:v>52055892.969999999</c:v>
                </c:pt>
                <c:pt idx="9">
                  <c:v>52034388.719999999</c:v>
                </c:pt>
                <c:pt idx="10">
                  <c:v>52575117.740000002</c:v>
                </c:pt>
                <c:pt idx="11">
                  <c:v>51284906.759999998</c:v>
                </c:pt>
                <c:pt idx="12">
                  <c:v>67059189.039999999</c:v>
                </c:pt>
                <c:pt idx="13">
                  <c:v>102580313.56999999</c:v>
                </c:pt>
                <c:pt idx="14">
                  <c:v>131151883.03</c:v>
                </c:pt>
                <c:pt idx="15">
                  <c:v>146576956.11000001</c:v>
                </c:pt>
                <c:pt idx="16">
                  <c:v>124489239.63000001</c:v>
                </c:pt>
                <c:pt idx="17">
                  <c:v>103661819.90000001</c:v>
                </c:pt>
                <c:pt idx="18">
                  <c:v>97217467.695000008</c:v>
                </c:pt>
                <c:pt idx="19">
                  <c:v>110389333.25</c:v>
                </c:pt>
                <c:pt idx="20">
                  <c:v>123979980.69</c:v>
                </c:pt>
                <c:pt idx="21">
                  <c:v>132201572.78500001</c:v>
                </c:pt>
                <c:pt idx="22">
                  <c:v>123645269.02500001</c:v>
                </c:pt>
                <c:pt idx="23">
                  <c:v>127446089.125</c:v>
                </c:pt>
                <c:pt idx="24">
                  <c:v>129620557.55</c:v>
                </c:pt>
                <c:pt idx="25">
                  <c:v>123538069.66999999</c:v>
                </c:pt>
                <c:pt idx="26">
                  <c:v>108518404.41999999</c:v>
                </c:pt>
                <c:pt idx="27">
                  <c:v>99046336.670000002</c:v>
                </c:pt>
                <c:pt idx="28">
                  <c:v>88567759.700000003</c:v>
                </c:pt>
                <c:pt idx="29">
                  <c:v>99942687.960000008</c:v>
                </c:pt>
                <c:pt idx="30">
                  <c:v>101392419.94</c:v>
                </c:pt>
                <c:pt idx="31">
                  <c:v>116722692.92</c:v>
                </c:pt>
                <c:pt idx="32">
                  <c:v>139764021.37</c:v>
                </c:pt>
                <c:pt idx="33">
                  <c:v>161489426.39000002</c:v>
                </c:pt>
                <c:pt idx="34">
                  <c:v>205437892.03999999</c:v>
                </c:pt>
                <c:pt idx="35">
                  <c:v>191752050.09999999</c:v>
                </c:pt>
                <c:pt idx="36">
                  <c:v>183117648.38</c:v>
                </c:pt>
                <c:pt idx="37">
                  <c:v>183100000</c:v>
                </c:pt>
              </c:numCache>
            </c:numRef>
          </c:val>
          <c:smooth val="0"/>
          <c:extLst>
            <c:ext xmlns:c16="http://schemas.microsoft.com/office/drawing/2014/chart" uri="{C3380CC4-5D6E-409C-BE32-E72D297353CC}">
              <c16:uniqueId val="{00000003-E948-4522-A4E2-83C02D0638E2}"/>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81014528"/>
        <c:axId val="181016064"/>
      </c:lineChart>
      <c:catAx>
        <c:axId val="18101452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spc="20" baseline="0">
                <a:solidFill>
                  <a:sysClr val="windowText" lastClr="000000"/>
                </a:solidFill>
                <a:latin typeface="+mn-lt"/>
                <a:ea typeface="+mn-ea"/>
                <a:cs typeface="+mn-cs"/>
              </a:defRPr>
            </a:pPr>
            <a:endParaRPr lang="en-US"/>
          </a:p>
        </c:txPr>
        <c:crossAx val="181016064"/>
        <c:crosses val="autoZero"/>
        <c:auto val="1"/>
        <c:lblAlgn val="ctr"/>
        <c:lblOffset val="100"/>
        <c:tickLblSkip val="5"/>
        <c:tickMarkSkip val="5"/>
        <c:noMultiLvlLbl val="0"/>
      </c:catAx>
      <c:valAx>
        <c:axId val="181016064"/>
        <c:scaling>
          <c:orientation val="minMax"/>
          <c:max val="210000000"/>
          <c:min val="0"/>
        </c:scaling>
        <c:delete val="0"/>
        <c:axPos val="l"/>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spc="20" baseline="0">
                <a:solidFill>
                  <a:sysClr val="windowText" lastClr="000000"/>
                </a:solidFill>
                <a:latin typeface="+mn-lt"/>
                <a:ea typeface="+mn-ea"/>
                <a:cs typeface="+mn-cs"/>
              </a:defRPr>
            </a:pPr>
            <a:endParaRPr lang="en-US"/>
          </a:p>
        </c:txPr>
        <c:crossAx val="181014528"/>
        <c:crosses val="autoZero"/>
        <c:crossBetween val="midCat"/>
        <c:majorUnit val="50000000"/>
        <c:minorUnit val="10000000"/>
        <c:dispUnits>
          <c:builtInUnit val="millions"/>
        </c:dispUnits>
      </c:valAx>
      <c:spPr>
        <a:gradFill>
          <a:gsLst>
            <a:gs pos="100000">
              <a:schemeClr val="lt1">
                <a:lumMod val="95000"/>
              </a:schemeClr>
            </a:gs>
            <a:gs pos="0">
              <a:schemeClr val="lt1"/>
            </a:gs>
          </a:gsLst>
          <a:lin ang="5400000" scaled="0"/>
        </a:gradFill>
        <a:ln>
          <a:noFill/>
        </a:ln>
        <a:effectLst/>
      </c:spPr>
    </c:plotArea>
    <c:legend>
      <c:legendPos val="b"/>
      <c:layout>
        <c:manualLayout>
          <c:xMode val="edge"/>
          <c:yMode val="edge"/>
          <c:x val="0"/>
          <c:y val="0.87205601484223971"/>
          <c:w val="0.99745060599296287"/>
          <c:h val="0.1279439851577602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a:pPr>
            <a:r>
              <a:rPr lang="en-US" sz="1600"/>
              <a:t>Budget Balance (million pesos)</a:t>
            </a:r>
          </a:p>
        </c:rich>
      </c:tx>
      <c:overlay val="0"/>
      <c:spPr>
        <a:noFill/>
        <a:ln>
          <a:noFill/>
        </a:ln>
        <a:effectLst/>
      </c:spPr>
    </c:title>
    <c:autoTitleDeleted val="0"/>
    <c:plotArea>
      <c:layout>
        <c:manualLayout>
          <c:layoutTarget val="inner"/>
          <c:xMode val="edge"/>
          <c:yMode val="edge"/>
          <c:x val="8.607174103237096E-2"/>
          <c:y val="0.12792833187518227"/>
          <c:w val="0.87112182852143483"/>
          <c:h val="0.75609179060950715"/>
        </c:manualLayout>
      </c:layout>
      <c:lineChart>
        <c:grouping val="standard"/>
        <c:varyColors val="0"/>
        <c:ser>
          <c:idx val="0"/>
          <c:order val="0"/>
          <c:tx>
            <c:strRef>
              <c:f>'Budget Balance Graph'!$B$3</c:f>
              <c:strCache>
                <c:ptCount val="1"/>
                <c:pt idx="0">
                  <c:v>Budget Balance (millon pesos)</c:v>
                </c:pt>
              </c:strCache>
            </c:strRef>
          </c:tx>
          <c:spPr>
            <a:ln w="28575" cap="rnd">
              <a:solidFill>
                <a:schemeClr val="accent1"/>
              </a:solidFill>
              <a:round/>
            </a:ln>
            <a:effectLst/>
          </c:spPr>
          <c:marker>
            <c:symbol val="none"/>
          </c:marker>
          <c:cat>
            <c:numRef>
              <c:f>'Budget Balance Graph'!$A$4:$A$40</c:f>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f>'Budget Balance Graph'!$B$4:$B$40</c:f>
              <c:numCache>
                <c:formatCode>#,##0.00</c:formatCode>
                <c:ptCount val="37"/>
                <c:pt idx="0">
                  <c:v>-2.0006388399999997</c:v>
                </c:pt>
                <c:pt idx="1">
                  <c:v>-1.3987239200000019</c:v>
                </c:pt>
                <c:pt idx="2">
                  <c:v>2.6425760800000018</c:v>
                </c:pt>
                <c:pt idx="3">
                  <c:v>5.4832128200000003</c:v>
                </c:pt>
                <c:pt idx="4">
                  <c:v>-1.1410484000000023</c:v>
                </c:pt>
                <c:pt idx="5">
                  <c:v>-0.72773459999999779</c:v>
                </c:pt>
                <c:pt idx="6">
                  <c:v>1.6511364699999989</c:v>
                </c:pt>
                <c:pt idx="7">
                  <c:v>3.1719947100000008</c:v>
                </c:pt>
                <c:pt idx="8">
                  <c:v>-0.21407287999999897</c:v>
                </c:pt>
                <c:pt idx="9">
                  <c:v>-2.5739416999999993</c:v>
                </c:pt>
                <c:pt idx="10">
                  <c:v>8.3900283699999996</c:v>
                </c:pt>
                <c:pt idx="11">
                  <c:v>1.3510201099999994</c:v>
                </c:pt>
                <c:pt idx="12">
                  <c:v>4.7980425600000025</c:v>
                </c:pt>
                <c:pt idx="13">
                  <c:v>9.3725236999999879</c:v>
                </c:pt>
                <c:pt idx="14">
                  <c:v>11.394057999999999</c:v>
                </c:pt>
                <c:pt idx="15">
                  <c:v>-7.0556660000000004</c:v>
                </c:pt>
                <c:pt idx="16">
                  <c:v>15.394633989999994</c:v>
                </c:pt>
                <c:pt idx="17">
                  <c:v>11.92549464999999</c:v>
                </c:pt>
                <c:pt idx="18">
                  <c:v>51.738429549999999</c:v>
                </c:pt>
                <c:pt idx="19">
                  <c:v>-24.481077730000003</c:v>
                </c:pt>
                <c:pt idx="20">
                  <c:v>-10.780103229999989</c:v>
                </c:pt>
                <c:pt idx="21">
                  <c:v>5.7358779200000019</c:v>
                </c:pt>
                <c:pt idx="22">
                  <c:v>-13.83178814</c:v>
                </c:pt>
                <c:pt idx="23">
                  <c:v>-0.68710970000000293</c:v>
                </c:pt>
                <c:pt idx="24">
                  <c:v>5.5392307199999991</c:v>
                </c:pt>
                <c:pt idx="25">
                  <c:v>10.488650799999997</c:v>
                </c:pt>
                <c:pt idx="26">
                  <c:v>-6.1671309599999935</c:v>
                </c:pt>
                <c:pt idx="27">
                  <c:v>-8.8586420400000065</c:v>
                </c:pt>
                <c:pt idx="28">
                  <c:v>-4.9801149699999989</c:v>
                </c:pt>
                <c:pt idx="29">
                  <c:v>-0.99014445000000295</c:v>
                </c:pt>
                <c:pt idx="30">
                  <c:v>7.9551622300000044</c:v>
                </c:pt>
                <c:pt idx="31">
                  <c:v>6.9060887899999921</c:v>
                </c:pt>
                <c:pt idx="32">
                  <c:v>11.136044920000002</c:v>
                </c:pt>
                <c:pt idx="33">
                  <c:v>114.26361058999998</c:v>
                </c:pt>
                <c:pt idx="34">
                  <c:v>-7.9294080900000035</c:v>
                </c:pt>
                <c:pt idx="35">
                  <c:v>3.0133161400000006</c:v>
                </c:pt>
                <c:pt idx="36">
                  <c:v>-25.58640370000002</c:v>
                </c:pt>
              </c:numCache>
            </c:numRef>
          </c:val>
          <c:smooth val="0"/>
          <c:extLst>
            <c:ext xmlns:c16="http://schemas.microsoft.com/office/drawing/2014/chart" uri="{C3380CC4-5D6E-409C-BE32-E72D297353CC}">
              <c16:uniqueId val="{00000000-6DC8-48C4-BC36-5DC8A39B630E}"/>
            </c:ext>
          </c:extLst>
        </c:ser>
        <c:dLbls>
          <c:showLegendKey val="0"/>
          <c:showVal val="0"/>
          <c:showCatName val="0"/>
          <c:showSerName val="0"/>
          <c:showPercent val="0"/>
          <c:showBubbleSize val="0"/>
        </c:dLbls>
        <c:smooth val="0"/>
        <c:axId val="186421248"/>
        <c:axId val="186422784"/>
      </c:lineChart>
      <c:catAx>
        <c:axId val="186421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86422784"/>
        <c:crossesAt val="-100"/>
        <c:auto val="1"/>
        <c:lblAlgn val="ctr"/>
        <c:lblOffset val="100"/>
        <c:tickLblSkip val="5"/>
        <c:tickMarkSkip val="5"/>
        <c:noMultiLvlLbl val="0"/>
      </c:catAx>
      <c:valAx>
        <c:axId val="186422784"/>
        <c:scaling>
          <c:orientation val="minMax"/>
          <c:max val="120"/>
          <c:min val="-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lumMod val="85000"/>
              </a:schemeClr>
            </a:solidFill>
          </a:ln>
          <a:effectLst/>
        </c:spPr>
        <c:txPr>
          <a:bodyPr rot="-60000000" vert="horz"/>
          <a:lstStyle/>
          <a:p>
            <a:pPr>
              <a:defRPr/>
            </a:pPr>
            <a:endParaRPr lang="en-US"/>
          </a:p>
        </c:txPr>
        <c:crossAx val="18642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Resources and Loans (mn</a:t>
            </a:r>
            <a:r>
              <a:rPr lang="en-US" b="1" baseline="0">
                <a:solidFill>
                  <a:sysClr val="windowText" lastClr="000000"/>
                </a:solidFill>
              </a:rPr>
              <a:t> pesos)</a:t>
            </a:r>
            <a:endParaRPr lang="en-US" b="1">
              <a:solidFill>
                <a:sysClr val="windowText" lastClr="000000"/>
              </a:solidFill>
            </a:endParaRPr>
          </a:p>
          <a:p>
            <a:pPr>
              <a:defRPr b="1">
                <a:solidFill>
                  <a:sysClr val="windowText" lastClr="000000"/>
                </a:solidFill>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342617620558624"/>
          <c:y val="0.1350925925925926"/>
          <c:w val="0.86175453441454142"/>
          <c:h val="0.69962124526100899"/>
        </c:manualLayout>
      </c:layout>
      <c:barChart>
        <c:barDir val="col"/>
        <c:grouping val="clustered"/>
        <c:varyColors val="0"/>
        <c:ser>
          <c:idx val="0"/>
          <c:order val="0"/>
          <c:tx>
            <c:strRef>
              <c:f>'Loans Graph'!$F$3</c:f>
              <c:strCache>
                <c:ptCount val="1"/>
                <c:pt idx="0">
                  <c:v>Resources</c:v>
                </c:pt>
              </c:strCache>
            </c:strRef>
          </c:tx>
          <c:spPr>
            <a:solidFill>
              <a:schemeClr val="accent1"/>
            </a:solidFill>
            <a:ln>
              <a:noFill/>
            </a:ln>
            <a:effectLst/>
          </c:spPr>
          <c:invertIfNegative val="0"/>
          <c:cat>
            <c:numRef>
              <c:f>'Loans Graph'!$E$4:$E$7</c:f>
              <c:numCache>
                <c:formatCode>0.00</c:formatCode>
                <c:ptCount val="4"/>
                <c:pt idx="0">
                  <c:v>1930</c:v>
                </c:pt>
                <c:pt idx="1">
                  <c:v>1931</c:v>
                </c:pt>
                <c:pt idx="2">
                  <c:v>1932</c:v>
                </c:pt>
                <c:pt idx="3">
                  <c:v>1933</c:v>
                </c:pt>
              </c:numCache>
            </c:numRef>
          </c:cat>
          <c:val>
            <c:numRef>
              <c:f>'Loans Graph'!$F$4:$F$7</c:f>
              <c:numCache>
                <c:formatCode>0.00</c:formatCode>
                <c:ptCount val="4"/>
                <c:pt idx="0">
                  <c:v>259.55505697000001</c:v>
                </c:pt>
                <c:pt idx="1">
                  <c:v>251.62197573</c:v>
                </c:pt>
                <c:pt idx="2">
                  <c:v>253.39127668999998</c:v>
                </c:pt>
                <c:pt idx="3">
                  <c:v>267.56646275000003</c:v>
                </c:pt>
              </c:numCache>
            </c:numRef>
          </c:val>
          <c:extLst>
            <c:ext xmlns:c16="http://schemas.microsoft.com/office/drawing/2014/chart" uri="{C3380CC4-5D6E-409C-BE32-E72D297353CC}">
              <c16:uniqueId val="{00000000-A76F-4D15-8DB4-C57C5FA717AB}"/>
            </c:ext>
          </c:extLst>
        </c:ser>
        <c:ser>
          <c:idx val="1"/>
          <c:order val="1"/>
          <c:tx>
            <c:strRef>
              <c:f>'Loans Graph'!$G$3</c:f>
              <c:strCache>
                <c:ptCount val="1"/>
                <c:pt idx="0">
                  <c:v>Loans</c:v>
                </c:pt>
              </c:strCache>
            </c:strRef>
          </c:tx>
          <c:spPr>
            <a:solidFill>
              <a:schemeClr val="accent2"/>
            </a:solidFill>
            <a:ln>
              <a:noFill/>
            </a:ln>
            <a:effectLst/>
          </c:spPr>
          <c:invertIfNegative val="0"/>
          <c:cat>
            <c:numRef>
              <c:f>'Loans Graph'!$E$4:$E$7</c:f>
              <c:numCache>
                <c:formatCode>0.00</c:formatCode>
                <c:ptCount val="4"/>
                <c:pt idx="0">
                  <c:v>1930</c:v>
                </c:pt>
                <c:pt idx="1">
                  <c:v>1931</c:v>
                </c:pt>
                <c:pt idx="2">
                  <c:v>1932</c:v>
                </c:pt>
                <c:pt idx="3">
                  <c:v>1933</c:v>
                </c:pt>
              </c:numCache>
            </c:numRef>
          </c:cat>
          <c:val>
            <c:numRef>
              <c:f>'Loans Graph'!$G$4:$G$7</c:f>
              <c:numCache>
                <c:formatCode>0.00</c:formatCode>
                <c:ptCount val="4"/>
                <c:pt idx="0">
                  <c:v>92.426181989999989</c:v>
                </c:pt>
                <c:pt idx="1">
                  <c:v>82.13341143000001</c:v>
                </c:pt>
                <c:pt idx="2">
                  <c:v>72.110827730000011</c:v>
                </c:pt>
                <c:pt idx="3">
                  <c:v>70.01505318000001</c:v>
                </c:pt>
              </c:numCache>
            </c:numRef>
          </c:val>
          <c:extLst>
            <c:ext xmlns:c16="http://schemas.microsoft.com/office/drawing/2014/chart" uri="{C3380CC4-5D6E-409C-BE32-E72D297353CC}">
              <c16:uniqueId val="{00000001-A76F-4D15-8DB4-C57C5FA717AB}"/>
            </c:ext>
          </c:extLst>
        </c:ser>
        <c:dLbls>
          <c:showLegendKey val="0"/>
          <c:showVal val="0"/>
          <c:showCatName val="0"/>
          <c:showSerName val="0"/>
          <c:showPercent val="0"/>
          <c:showBubbleSize val="0"/>
        </c:dLbls>
        <c:gapWidth val="219"/>
        <c:overlap val="-27"/>
        <c:axId val="180887552"/>
        <c:axId val="180889088"/>
      </c:barChart>
      <c:catAx>
        <c:axId val="18088755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0889088"/>
        <c:crosses val="autoZero"/>
        <c:auto val="1"/>
        <c:lblAlgn val="ctr"/>
        <c:lblOffset val="100"/>
        <c:noMultiLvlLbl val="0"/>
      </c:catAx>
      <c:valAx>
        <c:axId val="180889088"/>
        <c:scaling>
          <c:orientation val="minMax"/>
          <c:max val="5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0887552"/>
        <c:crosses val="autoZero"/>
        <c:crossBetween val="between"/>
        <c:majorUnit val="100"/>
      </c:valAx>
      <c:spPr>
        <a:noFill/>
        <a:ln>
          <a:noFill/>
        </a:ln>
        <a:effectLst/>
      </c:spPr>
    </c:plotArea>
    <c:legend>
      <c:legendPos val="b"/>
      <c:layout>
        <c:manualLayout>
          <c:xMode val="edge"/>
          <c:yMode val="edge"/>
          <c:x val="0.26699980412896146"/>
          <c:y val="0.89581692913385824"/>
          <c:w val="0.49784087436831592"/>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Resources and Loans (mn pesos)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463956913642676"/>
          <c:y val="0.14265882571383812"/>
          <c:w val="0.83112331142093476"/>
          <c:h val="0.68817731116943714"/>
        </c:manualLayout>
      </c:layout>
      <c:barChart>
        <c:barDir val="col"/>
        <c:grouping val="clustered"/>
        <c:varyColors val="0"/>
        <c:ser>
          <c:idx val="0"/>
          <c:order val="0"/>
          <c:tx>
            <c:strRef>
              <c:f>'Loans Graph'!$B$3</c:f>
              <c:strCache>
                <c:ptCount val="1"/>
                <c:pt idx="0">
                  <c:v>Resources</c:v>
                </c:pt>
              </c:strCache>
            </c:strRef>
          </c:tx>
          <c:spPr>
            <a:solidFill>
              <a:schemeClr val="accent1"/>
            </a:solidFill>
            <a:ln>
              <a:noFill/>
            </a:ln>
            <a:effectLst/>
          </c:spPr>
          <c:invertIfNegative val="0"/>
          <c:cat>
            <c:numRef>
              <c:f>'Loans Graph'!$A$4:$A$7</c:f>
              <c:numCache>
                <c:formatCode>General</c:formatCode>
                <c:ptCount val="4"/>
                <c:pt idx="0">
                  <c:v>1920</c:v>
                </c:pt>
                <c:pt idx="1">
                  <c:v>1921</c:v>
                </c:pt>
                <c:pt idx="2">
                  <c:v>1922</c:v>
                </c:pt>
                <c:pt idx="3">
                  <c:v>1923</c:v>
                </c:pt>
              </c:numCache>
            </c:numRef>
          </c:cat>
          <c:val>
            <c:numRef>
              <c:f>'Loans Graph'!$B$4:$B$7</c:f>
              <c:numCache>
                <c:formatCode>0.00</c:formatCode>
                <c:ptCount val="4"/>
                <c:pt idx="0">
                  <c:v>431.40507700000001</c:v>
                </c:pt>
                <c:pt idx="1">
                  <c:v>380.50265013999996</c:v>
                </c:pt>
                <c:pt idx="2">
                  <c:v>326.20346118000003</c:v>
                </c:pt>
                <c:pt idx="3">
                  <c:v>338.05798905</c:v>
                </c:pt>
              </c:numCache>
            </c:numRef>
          </c:val>
          <c:extLst>
            <c:ext xmlns:c16="http://schemas.microsoft.com/office/drawing/2014/chart" uri="{C3380CC4-5D6E-409C-BE32-E72D297353CC}">
              <c16:uniqueId val="{00000000-F41A-4208-B0E3-2D15C849D6AC}"/>
            </c:ext>
          </c:extLst>
        </c:ser>
        <c:ser>
          <c:idx val="1"/>
          <c:order val="1"/>
          <c:tx>
            <c:strRef>
              <c:f>'Loans Graph'!$C$3</c:f>
              <c:strCache>
                <c:ptCount val="1"/>
                <c:pt idx="0">
                  <c:v>Loans</c:v>
                </c:pt>
              </c:strCache>
            </c:strRef>
          </c:tx>
          <c:spPr>
            <a:solidFill>
              <a:schemeClr val="accent2"/>
            </a:solidFill>
            <a:ln>
              <a:noFill/>
            </a:ln>
            <a:effectLst/>
          </c:spPr>
          <c:invertIfNegative val="0"/>
          <c:cat>
            <c:numRef>
              <c:f>'Loans Graph'!$A$4:$A$7</c:f>
              <c:numCache>
                <c:formatCode>General</c:formatCode>
                <c:ptCount val="4"/>
                <c:pt idx="0">
                  <c:v>1920</c:v>
                </c:pt>
                <c:pt idx="1">
                  <c:v>1921</c:v>
                </c:pt>
                <c:pt idx="2">
                  <c:v>1922</c:v>
                </c:pt>
                <c:pt idx="3">
                  <c:v>1923</c:v>
                </c:pt>
              </c:numCache>
            </c:numRef>
          </c:cat>
          <c:val>
            <c:numRef>
              <c:f>'Loans Graph'!$C$4:$C$7</c:f>
              <c:numCache>
                <c:formatCode>0.00</c:formatCode>
                <c:ptCount val="4"/>
                <c:pt idx="0">
                  <c:v>116.02384076999999</c:v>
                </c:pt>
                <c:pt idx="1">
                  <c:v>131.50751923000001</c:v>
                </c:pt>
                <c:pt idx="2">
                  <c:v>149.71744634000001</c:v>
                </c:pt>
                <c:pt idx="3">
                  <c:v>138.20272155000001</c:v>
                </c:pt>
              </c:numCache>
            </c:numRef>
          </c:val>
          <c:extLst>
            <c:ext xmlns:c16="http://schemas.microsoft.com/office/drawing/2014/chart" uri="{C3380CC4-5D6E-409C-BE32-E72D297353CC}">
              <c16:uniqueId val="{00000001-F41A-4208-B0E3-2D15C849D6AC}"/>
            </c:ext>
          </c:extLst>
        </c:ser>
        <c:dLbls>
          <c:showLegendKey val="0"/>
          <c:showVal val="0"/>
          <c:showCatName val="0"/>
          <c:showSerName val="0"/>
          <c:showPercent val="0"/>
          <c:showBubbleSize val="0"/>
        </c:dLbls>
        <c:gapWidth val="219"/>
        <c:overlap val="-27"/>
        <c:axId val="180921088"/>
        <c:axId val="180922624"/>
      </c:barChart>
      <c:catAx>
        <c:axId val="1809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0922624"/>
        <c:crosses val="autoZero"/>
        <c:auto val="1"/>
        <c:lblAlgn val="ctr"/>
        <c:lblOffset val="100"/>
        <c:noMultiLvlLbl val="0"/>
      </c:catAx>
      <c:valAx>
        <c:axId val="180922624"/>
        <c:scaling>
          <c:orientation val="minMax"/>
          <c:max val="5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0921088"/>
        <c:crosses val="autoZero"/>
        <c:crossBetween val="between"/>
        <c:majorUnit val="100"/>
      </c:valAx>
      <c:spPr>
        <a:noFill/>
        <a:ln>
          <a:noFill/>
        </a:ln>
        <a:effectLst/>
      </c:spPr>
    </c:plotArea>
    <c:legend>
      <c:legendPos val="b"/>
      <c:layout>
        <c:manualLayout>
          <c:xMode val="edge"/>
          <c:yMode val="edge"/>
          <c:x val="0.23088678321989412"/>
          <c:y val="0.90076931929646997"/>
          <c:w val="0.56534472174029093"/>
          <c:h val="9.92306807035300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[1]Sheet1!$G$2</c:f>
              <c:strCache>
                <c:ptCount val="1"/>
                <c:pt idx="0">
                  <c:v>Net Domestic Assets/Monetary Base:</c:v>
                </c:pt>
              </c:strCache>
            </c:strRef>
          </c:tx>
          <c:spPr>
            <a:ln w="28575" cap="rnd">
              <a:solidFill>
                <a:schemeClr val="accent1"/>
              </a:solidFill>
              <a:round/>
            </a:ln>
            <a:effectLst/>
          </c:spPr>
          <c:marker>
            <c:symbol val="none"/>
          </c:marker>
          <c:cat>
            <c:numRef>
              <c:f>[1]Sheet1!$F$3:$F$39</c:f>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f>[1]Sheet1!$G$3:$G$39</c:f>
              <c:numCache>
                <c:formatCode>#,##0.00</c:formatCode>
                <c:ptCount val="37"/>
                <c:pt idx="0">
                  <c:v>0</c:v>
                </c:pt>
                <c:pt idx="1">
                  <c:v>0</c:v>
                </c:pt>
                <c:pt idx="2">
                  <c:v>0</c:v>
                </c:pt>
                <c:pt idx="3">
                  <c:v>3.2108182283915351E-3</c:v>
                </c:pt>
                <c:pt idx="4">
                  <c:v>0</c:v>
                </c:pt>
                <c:pt idx="5">
                  <c:v>10.354814632735829</c:v>
                </c:pt>
                <c:pt idx="6">
                  <c:v>14.927471449286948</c:v>
                </c:pt>
                <c:pt idx="7" formatCode="General">
                  <c:v>14.862197743485131</c:v>
                </c:pt>
                <c:pt idx="8" formatCode="General">
                  <c:v>28.142405800745387</c:v>
                </c:pt>
                <c:pt idx="9">
                  <c:v>23.923311658000124</c:v>
                </c:pt>
                <c:pt idx="10">
                  <c:v>32.083045506969157</c:v>
                </c:pt>
                <c:pt idx="11">
                  <c:v>41.293074255431783</c:v>
                </c:pt>
                <c:pt idx="12">
                  <c:v>52.285367394440421</c:v>
                </c:pt>
                <c:pt idx="13">
                  <c:v>57.276162849826186</c:v>
                </c:pt>
                <c:pt idx="14">
                  <c:v>89.478085601921649</c:v>
                </c:pt>
                <c:pt idx="15">
                  <c:v>70.595413541394535</c:v>
                </c:pt>
                <c:pt idx="16">
                  <c:v>84.093993012018871</c:v>
                </c:pt>
                <c:pt idx="17">
                  <c:v>0.10024697869117492</c:v>
                </c:pt>
                <c:pt idx="18">
                  <c:v>1.3481538615091476E-2</c:v>
                </c:pt>
                <c:pt idx="19">
                  <c:v>-8.0087073323389362E-3</c:v>
                </c:pt>
                <c:pt idx="20">
                  <c:v>0.39706726440351681</c:v>
                </c:pt>
                <c:pt idx="21">
                  <c:v>0.39057422050091578</c:v>
                </c:pt>
                <c:pt idx="22">
                  <c:v>0.57676122403867736</c:v>
                </c:pt>
                <c:pt idx="23">
                  <c:v>0.57817198989047081</c:v>
                </c:pt>
                <c:pt idx="24">
                  <c:v>0.75419607981962966</c:v>
                </c:pt>
                <c:pt idx="25">
                  <c:v>1.1071071415056521</c:v>
                </c:pt>
                <c:pt idx="26" formatCode="General">
                  <c:v>1.8601967438076732</c:v>
                </c:pt>
                <c:pt idx="27" formatCode="General">
                  <c:v>0.93256907723010629</c:v>
                </c:pt>
                <c:pt idx="28" formatCode="General">
                  <c:v>0.95253270665629863</c:v>
                </c:pt>
                <c:pt idx="29" formatCode="General">
                  <c:v>0.5667476090058795</c:v>
                </c:pt>
                <c:pt idx="30" formatCode="General">
                  <c:v>0.46650644608901232</c:v>
                </c:pt>
                <c:pt idx="31" formatCode="General">
                  <c:v>1.2348699220227184</c:v>
                </c:pt>
                <c:pt idx="32" formatCode="General">
                  <c:v>0.69162753677174171</c:v>
                </c:pt>
                <c:pt idx="33" formatCode="General">
                  <c:v>0.74411210858876975</c:v>
                </c:pt>
                <c:pt idx="34" formatCode="General">
                  <c:v>0.73544908090904726</c:v>
                </c:pt>
                <c:pt idx="35" formatCode="General">
                  <c:v>0.73501809232933724</c:v>
                </c:pt>
                <c:pt idx="36" formatCode="General">
                  <c:v>7.635236606726821E-2</c:v>
                </c:pt>
              </c:numCache>
            </c:numRef>
          </c:val>
          <c:smooth val="0"/>
          <c:extLst>
            <c:ext xmlns:c16="http://schemas.microsoft.com/office/drawing/2014/chart" uri="{C3380CC4-5D6E-409C-BE32-E72D297353CC}">
              <c16:uniqueId val="{00000000-1D8B-41C5-845F-F960AA5FDB15}"/>
            </c:ext>
          </c:extLst>
        </c:ser>
        <c:dLbls>
          <c:showLegendKey val="0"/>
          <c:showVal val="0"/>
          <c:showCatName val="0"/>
          <c:showSerName val="0"/>
          <c:showPercent val="0"/>
          <c:showBubbleSize val="0"/>
        </c:dLbls>
        <c:smooth val="0"/>
        <c:axId val="411703880"/>
        <c:axId val="411704536"/>
      </c:lineChart>
      <c:catAx>
        <c:axId val="4117038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1704536"/>
        <c:crosses val="autoZero"/>
        <c:auto val="1"/>
        <c:lblAlgn val="ctr"/>
        <c:lblOffset val="100"/>
        <c:noMultiLvlLbl val="0"/>
      </c:catAx>
      <c:valAx>
        <c:axId val="411704536"/>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1703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[1]Sheet1!$Q$2</c:f>
              <c:strCache>
                <c:ptCount val="1"/>
                <c:pt idx="0">
                  <c:v>Change in Monetary Assets/Change in Foreign Assets</c:v>
                </c:pt>
              </c:strCache>
            </c:strRef>
          </c:tx>
          <c:spPr>
            <a:ln w="28575" cap="rnd">
              <a:solidFill>
                <a:schemeClr val="accent1"/>
              </a:solidFill>
              <a:round/>
            </a:ln>
            <a:effectLst/>
          </c:spPr>
          <c:marker>
            <c:symbol val="none"/>
          </c:marker>
          <c:cat>
            <c:numRef>
              <c:f>[1]Sheet1!$P$3:$P$39</c:f>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f>[1]Sheet1!$Q$3:$Q$39</c:f>
              <c:numCache>
                <c:formatCode>General</c:formatCode>
                <c:ptCount val="37"/>
                <c:pt idx="0">
                  <c:v>0</c:v>
                </c:pt>
                <c:pt idx="1">
                  <c:v>261.99766509157388</c:v>
                </c:pt>
                <c:pt idx="2">
                  <c:v>-369.66494596830864</c:v>
                </c:pt>
                <c:pt idx="3">
                  <c:v>-230.81866770160926</c:v>
                </c:pt>
                <c:pt idx="4">
                  <c:v>15.799204692110941</c:v>
                </c:pt>
                <c:pt idx="5">
                  <c:v>36.701662910933038</c:v>
                </c:pt>
                <c:pt idx="6">
                  <c:v>93.622663504474474</c:v>
                </c:pt>
                <c:pt idx="7">
                  <c:v>-3.5357081257374121</c:v>
                </c:pt>
                <c:pt idx="8">
                  <c:v>-42.03533330921249</c:v>
                </c:pt>
                <c:pt idx="9">
                  <c:v>-27.053503726905646</c:v>
                </c:pt>
                <c:pt idx="10">
                  <c:v>-17.126091900901457</c:v>
                </c:pt>
                <c:pt idx="11">
                  <c:v>2.5313336667325932</c:v>
                </c:pt>
                <c:pt idx="12">
                  <c:v>16.978842584746182</c:v>
                </c:pt>
                <c:pt idx="13">
                  <c:v>67.779997512827364</c:v>
                </c:pt>
                <c:pt idx="14">
                  <c:v>-40.02892671898281</c:v>
                </c:pt>
                <c:pt idx="15">
                  <c:v>-236.88005506833315</c:v>
                </c:pt>
                <c:pt idx="16">
                  <c:v>24.562253781534473</c:v>
                </c:pt>
                <c:pt idx="17">
                  <c:v>23.73042736562908</c:v>
                </c:pt>
                <c:pt idx="18">
                  <c:v>107.78856325536724</c:v>
                </c:pt>
                <c:pt idx="19">
                  <c:v>1.7620622126071934</c:v>
                </c:pt>
                <c:pt idx="20">
                  <c:v>70.249301138013053</c:v>
                </c:pt>
                <c:pt idx="21">
                  <c:v>18.26926084890567</c:v>
                </c:pt>
                <c:pt idx="22">
                  <c:v>125.33294085253944</c:v>
                </c:pt>
                <c:pt idx="23">
                  <c:v>69.195472478623941</c:v>
                </c:pt>
                <c:pt idx="24">
                  <c:v>15.201105357082783</c:v>
                </c:pt>
                <c:pt idx="25">
                  <c:v>-47.334266464576409</c:v>
                </c:pt>
                <c:pt idx="26">
                  <c:v>-312.78530015932824</c:v>
                </c:pt>
                <c:pt idx="27">
                  <c:v>185.20207596452525</c:v>
                </c:pt>
                <c:pt idx="28">
                  <c:v>-948.07378382273941</c:v>
                </c:pt>
                <c:pt idx="29">
                  <c:v>788.05448670851854</c:v>
                </c:pt>
                <c:pt idx="30">
                  <c:v>-190.28815132216531</c:v>
                </c:pt>
                <c:pt idx="31">
                  <c:v>113.49768150790338</c:v>
                </c:pt>
                <c:pt idx="32">
                  <c:v>169.99159540372844</c:v>
                </c:pt>
                <c:pt idx="33">
                  <c:v>141.04033292053535</c:v>
                </c:pt>
                <c:pt idx="34">
                  <c:v>162.19007114458418</c:v>
                </c:pt>
                <c:pt idx="35">
                  <c:v>24.025458018987038</c:v>
                </c:pt>
                <c:pt idx="36">
                  <c:v>240.6755777679578</c:v>
                </c:pt>
              </c:numCache>
            </c:numRef>
          </c:val>
          <c:smooth val="0"/>
          <c:extLst>
            <c:ext xmlns:c16="http://schemas.microsoft.com/office/drawing/2014/chart" uri="{C3380CC4-5D6E-409C-BE32-E72D297353CC}">
              <c16:uniqueId val="{00000000-AEB1-443F-9C95-4EB8290817EF}"/>
            </c:ext>
          </c:extLst>
        </c:ser>
        <c:dLbls>
          <c:showLegendKey val="0"/>
          <c:showVal val="0"/>
          <c:showCatName val="0"/>
          <c:showSerName val="0"/>
          <c:showPercent val="0"/>
          <c:showBubbleSize val="0"/>
        </c:dLbls>
        <c:smooth val="0"/>
        <c:axId val="463252760"/>
        <c:axId val="463250464"/>
      </c:lineChart>
      <c:catAx>
        <c:axId val="463252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50464"/>
        <c:crosses val="autoZero"/>
        <c:auto val="1"/>
        <c:lblAlgn val="ctr"/>
        <c:lblOffset val="100"/>
        <c:noMultiLvlLbl val="0"/>
      </c:catAx>
      <c:valAx>
        <c:axId val="463250464"/>
        <c:scaling>
          <c:orientation val="minMax"/>
          <c:max val="800"/>
          <c:min val="-8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52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[1]Sheet1!$T$2</c:f>
              <c:strCache>
                <c:ptCount val="1"/>
                <c:pt idx="0">
                  <c:v>Reserve Pass Through</c:v>
                </c:pt>
              </c:strCache>
            </c:strRef>
          </c:tx>
          <c:spPr>
            <a:ln w="28575" cap="rnd">
              <a:solidFill>
                <a:schemeClr val="accent1"/>
              </a:solidFill>
              <a:round/>
            </a:ln>
            <a:effectLst/>
          </c:spPr>
          <c:marker>
            <c:symbol val="none"/>
          </c:marker>
          <c:cat>
            <c:numRef>
              <c:f>[1]Sheet1!$S$3:$S$39</c:f>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f>[1]Sheet1!$T$3:$T$39</c:f>
              <c:numCache>
                <c:formatCode>General</c:formatCode>
                <c:ptCount val="37"/>
                <c:pt idx="0">
                  <c:v>0</c:v>
                </c:pt>
                <c:pt idx="1">
                  <c:v>-538.30414304006013</c:v>
                </c:pt>
                <c:pt idx="2">
                  <c:v>-70.941038397234863</c:v>
                </c:pt>
                <c:pt idx="3">
                  <c:v>-45.509470028061536</c:v>
                </c:pt>
                <c:pt idx="4">
                  <c:v>0.48039441391112575</c:v>
                </c:pt>
                <c:pt idx="5">
                  <c:v>88.317252103963568</c:v>
                </c:pt>
                <c:pt idx="6">
                  <c:v>202.08179830560806</c:v>
                </c:pt>
                <c:pt idx="7">
                  <c:v>25.023057745938527</c:v>
                </c:pt>
                <c:pt idx="8">
                  <c:v>-36.168212320051943</c:v>
                </c:pt>
                <c:pt idx="9">
                  <c:v>699.10388276480376</c:v>
                </c:pt>
                <c:pt idx="10">
                  <c:v>1482.0346758395767</c:v>
                </c:pt>
                <c:pt idx="11">
                  <c:v>-40.647247600797314</c:v>
                </c:pt>
                <c:pt idx="12">
                  <c:v>-93.077967723013614</c:v>
                </c:pt>
                <c:pt idx="13">
                  <c:v>8662.4760274423006</c:v>
                </c:pt>
                <c:pt idx="14">
                  <c:v>3.6435410613895796</c:v>
                </c:pt>
                <c:pt idx="15">
                  <c:v>75.776486891193699</c:v>
                </c:pt>
                <c:pt idx="16">
                  <c:v>86.800923512690702</c:v>
                </c:pt>
                <c:pt idx="17">
                  <c:v>2.2715740938208948</c:v>
                </c:pt>
                <c:pt idx="18">
                  <c:v>24.409707440115312</c:v>
                </c:pt>
                <c:pt idx="19">
                  <c:v>-162.38256466660283</c:v>
                </c:pt>
                <c:pt idx="20">
                  <c:v>63.530330116675394</c:v>
                </c:pt>
                <c:pt idx="21">
                  <c:v>27.281452798064947</c:v>
                </c:pt>
                <c:pt idx="22">
                  <c:v>103.74566877399671</c:v>
                </c:pt>
                <c:pt idx="23">
                  <c:v>105.90282644114323</c:v>
                </c:pt>
                <c:pt idx="24">
                  <c:v>15.113331147616559</c:v>
                </c:pt>
                <c:pt idx="25">
                  <c:v>-38.82357004672415</c:v>
                </c:pt>
                <c:pt idx="26">
                  <c:v>-1046.6875698670326</c:v>
                </c:pt>
                <c:pt idx="27">
                  <c:v>173.0746018112707</c:v>
                </c:pt>
                <c:pt idx="28">
                  <c:v>426.0427907410633</c:v>
                </c:pt>
                <c:pt idx="29">
                  <c:v>199.23439251559421</c:v>
                </c:pt>
                <c:pt idx="30">
                  <c:v>-109.29972873253897</c:v>
                </c:pt>
                <c:pt idx="31">
                  <c:v>99.895416053178749</c:v>
                </c:pt>
                <c:pt idx="32">
                  <c:v>193.97935070819497</c:v>
                </c:pt>
                <c:pt idx="33">
                  <c:v>185.21099027807259</c:v>
                </c:pt>
                <c:pt idx="34">
                  <c:v>181.32701841307636</c:v>
                </c:pt>
                <c:pt idx="35">
                  <c:v>24.108264222253112</c:v>
                </c:pt>
                <c:pt idx="36">
                  <c:v>233.53754934770436</c:v>
                </c:pt>
              </c:numCache>
            </c:numRef>
          </c:val>
          <c:smooth val="0"/>
          <c:extLst>
            <c:ext xmlns:c16="http://schemas.microsoft.com/office/drawing/2014/chart" uri="{C3380CC4-5D6E-409C-BE32-E72D297353CC}">
              <c16:uniqueId val="{00000000-7D94-4DC4-8906-821C19A1B0AD}"/>
            </c:ext>
          </c:extLst>
        </c:ser>
        <c:dLbls>
          <c:showLegendKey val="0"/>
          <c:showVal val="0"/>
          <c:showCatName val="0"/>
          <c:showSerName val="0"/>
          <c:showPercent val="0"/>
          <c:showBubbleSize val="0"/>
        </c:dLbls>
        <c:smooth val="0"/>
        <c:axId val="466194560"/>
        <c:axId val="466192920"/>
      </c:lineChart>
      <c:catAx>
        <c:axId val="466194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192920"/>
        <c:crosses val="autoZero"/>
        <c:auto val="1"/>
        <c:lblAlgn val="ctr"/>
        <c:lblOffset val="100"/>
        <c:noMultiLvlLbl val="0"/>
      </c:catAx>
      <c:valAx>
        <c:axId val="466192920"/>
        <c:scaling>
          <c:orientation val="minMax"/>
          <c:max val="1500"/>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1945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Foreign Assets/Monetary Base</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[1]Sheet1!$B$2</c:f>
              <c:strCache>
                <c:ptCount val="1"/>
                <c:pt idx="0">
                  <c:v>Net Foreign Assets/Monetary Base:</c:v>
                </c:pt>
              </c:strCache>
            </c:strRef>
          </c:tx>
          <c:spPr>
            <a:ln w="28575" cap="rnd">
              <a:solidFill>
                <a:schemeClr val="accent1"/>
              </a:solidFill>
              <a:round/>
            </a:ln>
            <a:effectLst/>
          </c:spPr>
          <c:marker>
            <c:symbol val="none"/>
          </c:marker>
          <c:cat>
            <c:numRef>
              <c:f>[1]Sheet1!$A$3:$A$39</c:f>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f>[1]Sheet1!$B$3:$B$39</c:f>
              <c:numCache>
                <c:formatCode>#,##0.00</c:formatCode>
                <c:ptCount val="37"/>
                <c:pt idx="0">
                  <c:v>344.70025323677049</c:v>
                </c:pt>
                <c:pt idx="1">
                  <c:v>233.00485305322661</c:v>
                </c:pt>
                <c:pt idx="2">
                  <c:v>191.38264996878868</c:v>
                </c:pt>
                <c:pt idx="3">
                  <c:v>111.29628475218666</c:v>
                </c:pt>
                <c:pt idx="4">
                  <c:v>184.3754434762765</c:v>
                </c:pt>
                <c:pt idx="5">
                  <c:v>210.85183487037264</c:v>
                </c:pt>
                <c:pt idx="6">
                  <c:v>213.04247196288745</c:v>
                </c:pt>
                <c:pt idx="7">
                  <c:v>111.30958652627206</c:v>
                </c:pt>
                <c:pt idx="8" formatCode="General">
                  <c:v>96.430902295012643</c:v>
                </c:pt>
                <c:pt idx="9">
                  <c:v>80.157596000437877</c:v>
                </c:pt>
                <c:pt idx="10">
                  <c:v>44.267144795883965</c:v>
                </c:pt>
                <c:pt idx="11">
                  <c:v>41.887601799498739</c:v>
                </c:pt>
                <c:pt idx="12">
                  <c:v>83.859769675028289</c:v>
                </c:pt>
                <c:pt idx="13">
                  <c:v>97.740239870141551</c:v>
                </c:pt>
                <c:pt idx="14">
                  <c:v>25.492309955706649</c:v>
                </c:pt>
                <c:pt idx="15">
                  <c:v>21.252978818073672</c:v>
                </c:pt>
                <c:pt idx="16">
                  <c:v>7.3900314866574961</c:v>
                </c:pt>
                <c:pt idx="17">
                  <c:v>7.0826319077804794</c:v>
                </c:pt>
                <c:pt idx="18">
                  <c:v>7.1532698839992399</c:v>
                </c:pt>
                <c:pt idx="19">
                  <c:v>66.695701883141524</c:v>
                </c:pt>
                <c:pt idx="20">
                  <c:v>70.109581207082499</c:v>
                </c:pt>
                <c:pt idx="21">
                  <c:v>88.464794038368851</c:v>
                </c:pt>
                <c:pt idx="22">
                  <c:v>89.612535263120535</c:v>
                </c:pt>
                <c:pt idx="23">
                  <c:v>91.507656405041388</c:v>
                </c:pt>
                <c:pt idx="24">
                  <c:v>97.506708315234718</c:v>
                </c:pt>
                <c:pt idx="25">
                  <c:v>110.26694315819809</c:v>
                </c:pt>
                <c:pt idx="26">
                  <c:v>125.53073238333398</c:v>
                </c:pt>
                <c:pt idx="27">
                  <c:v>129.57163572714728</c:v>
                </c:pt>
                <c:pt idx="28" formatCode="General">
                  <c:v>147.07140673531001</c:v>
                </c:pt>
                <c:pt idx="29" formatCode="General">
                  <c:v>131.73966088281512</c:v>
                </c:pt>
                <c:pt idx="30" formatCode="General">
                  <c:v>138.65115213187465</c:v>
                </c:pt>
                <c:pt idx="31" formatCode="General">
                  <c:v>136.83270403574178</c:v>
                </c:pt>
                <c:pt idx="32" formatCode="General">
                  <c:v>124.94250395806377</c:v>
                </c:pt>
                <c:pt idx="33" formatCode="General">
                  <c:v>119.95094240660637</c:v>
                </c:pt>
                <c:pt idx="34" formatCode="General">
                  <c:v>109.40201162047674</c:v>
                </c:pt>
                <c:pt idx="35" formatCode="General">
                  <c:v>104.98319928417381</c:v>
                </c:pt>
                <c:pt idx="36" formatCode="General">
                  <c:v>108.65082528475108</c:v>
                </c:pt>
              </c:numCache>
            </c:numRef>
          </c:val>
          <c:smooth val="0"/>
          <c:extLst>
            <c:ext xmlns:c16="http://schemas.microsoft.com/office/drawing/2014/chart" uri="{C3380CC4-5D6E-409C-BE32-E72D297353CC}">
              <c16:uniqueId val="{00000000-C1BC-464F-BE94-87A2C9AD67DF}"/>
            </c:ext>
          </c:extLst>
        </c:ser>
        <c:ser>
          <c:idx val="2"/>
          <c:order val="2"/>
          <c:tx>
            <c:strRef>
              <c:f>[1]Sheet1!$D$2</c:f>
              <c:strCache>
                <c:ptCount val="1"/>
                <c:pt idx="0">
                  <c:v>Net Foreign Assets/Monetary Base:</c:v>
                </c:pt>
              </c:strCache>
            </c:strRef>
          </c:tx>
          <c:spPr>
            <a:ln w="28575" cap="rnd">
              <a:solidFill>
                <a:sysClr val="windowText" lastClr="000000"/>
              </a:solidFill>
              <a:round/>
            </a:ln>
            <a:effectLst/>
          </c:spPr>
          <c:marker>
            <c:symbol val="none"/>
          </c:marker>
          <c:cat>
            <c:numRef>
              <c:f>[1]Sheet1!$A$3:$A$39</c:f>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f>[1]Sheet1!$D$3:$D$39</c:f>
              <c:numCache>
                <c:formatCode>General</c:formatCode>
                <c:ptCount val="3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numCache>
            </c:numRef>
          </c:val>
          <c:smooth val="0"/>
          <c:extLst>
            <c:ext xmlns:c16="http://schemas.microsoft.com/office/drawing/2014/chart" uri="{C3380CC4-5D6E-409C-BE32-E72D297353CC}">
              <c16:uniqueId val="{00000001-C1BC-464F-BE94-87A2C9AD67DF}"/>
            </c:ext>
          </c:extLst>
        </c:ser>
        <c:dLbls>
          <c:showLegendKey val="0"/>
          <c:showVal val="0"/>
          <c:showCatName val="0"/>
          <c:showSerName val="0"/>
          <c:showPercent val="0"/>
          <c:showBubbleSize val="0"/>
        </c:dLbls>
        <c:smooth val="0"/>
        <c:axId val="473895056"/>
        <c:axId val="473894400"/>
        <c:extLst>
          <c:ext xmlns:c15="http://schemas.microsoft.com/office/drawing/2012/chart" uri="{02D57815-91ED-43cb-92C2-25804820EDAC}">
            <c15:filteredLineSeries>
              <c15:ser>
                <c:idx val="1"/>
                <c:order val="1"/>
                <c:tx>
                  <c:strRef>
                    <c:extLst>
                      <c:ext uri="{02D57815-91ED-43cb-92C2-25804820EDAC}">
                        <c15:formulaRef>
                          <c15:sqref>[1]Sheet1!$C$2</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[1]Sheet1!$A$3:$A$39</c15:sqref>
                        </c15:formulaRef>
                      </c:ext>
                    </c:extLst>
                    <c:numCache>
                      <c:formatCode>General</c:formatCode>
                      <c:ptCount val="37"/>
                      <c:pt idx="0">
                        <c:v>1904</c:v>
                      </c:pt>
                      <c:pt idx="1">
                        <c:v>1905</c:v>
                      </c:pt>
                      <c:pt idx="2">
                        <c:v>1906</c:v>
                      </c:pt>
                      <c:pt idx="3">
                        <c:v>1907</c:v>
                      </c:pt>
                      <c:pt idx="4">
                        <c:v>1908</c:v>
                      </c:pt>
                      <c:pt idx="5">
                        <c:v>1909</c:v>
                      </c:pt>
                      <c:pt idx="6">
                        <c:v>1910</c:v>
                      </c:pt>
                      <c:pt idx="7">
                        <c:v>1911</c:v>
                      </c:pt>
                      <c:pt idx="8">
                        <c:v>1912</c:v>
                      </c:pt>
                      <c:pt idx="9">
                        <c:v>1913</c:v>
                      </c:pt>
                      <c:pt idx="10">
                        <c:v>1914</c:v>
                      </c:pt>
                      <c:pt idx="11">
                        <c:v>1915</c:v>
                      </c:pt>
                      <c:pt idx="12">
                        <c:v>1916</c:v>
                      </c:pt>
                      <c:pt idx="13">
                        <c:v>1917</c:v>
                      </c:pt>
                      <c:pt idx="14">
                        <c:v>1918</c:v>
                      </c:pt>
                      <c:pt idx="15">
                        <c:v>1919</c:v>
                      </c:pt>
                      <c:pt idx="16">
                        <c:v>1920</c:v>
                      </c:pt>
                      <c:pt idx="17">
                        <c:v>1921</c:v>
                      </c:pt>
                      <c:pt idx="18">
                        <c:v>1922</c:v>
                      </c:pt>
                      <c:pt idx="19">
                        <c:v>1923</c:v>
                      </c:pt>
                      <c:pt idx="20">
                        <c:v>1924</c:v>
                      </c:pt>
                      <c:pt idx="21">
                        <c:v>1925</c:v>
                      </c:pt>
                      <c:pt idx="22">
                        <c:v>1926</c:v>
                      </c:pt>
                      <c:pt idx="23">
                        <c:v>1927</c:v>
                      </c:pt>
                      <c:pt idx="24">
                        <c:v>1928</c:v>
                      </c:pt>
                      <c:pt idx="25">
                        <c:v>1929</c:v>
                      </c:pt>
                      <c:pt idx="26">
                        <c:v>1930</c:v>
                      </c:pt>
                      <c:pt idx="27">
                        <c:v>1931</c:v>
                      </c:pt>
                      <c:pt idx="28">
                        <c:v>1932</c:v>
                      </c:pt>
                      <c:pt idx="29">
                        <c:v>1933</c:v>
                      </c:pt>
                      <c:pt idx="30">
                        <c:v>1934</c:v>
                      </c:pt>
                      <c:pt idx="31">
                        <c:v>1935</c:v>
                      </c:pt>
                      <c:pt idx="32">
                        <c:v>1936</c:v>
                      </c:pt>
                      <c:pt idx="33">
                        <c:v>1937</c:v>
                      </c:pt>
                      <c:pt idx="34">
                        <c:v>1938</c:v>
                      </c:pt>
                      <c:pt idx="35">
                        <c:v>1939</c:v>
                      </c:pt>
                      <c:pt idx="36">
                        <c:v>1940</c:v>
                      </c:pt>
                    </c:numCache>
                  </c:numRef>
                </c:cat>
                <c:val>
                  <c:numRef>
                    <c:extLst>
                      <c:ext uri="{02D57815-91ED-43cb-92C2-25804820EDAC}">
                        <c15:formulaRef>
                          <c15:sqref>[1]Sheet1!$C$3:$C$39</c15:sqref>
                        </c15:formulaRef>
                      </c:ext>
                    </c:extLst>
                    <c:numCache>
                      <c:formatCode>#,##0.00</c:formatCode>
                      <c:ptCount val="37"/>
                    </c:numCache>
                  </c:numRef>
                </c:val>
                <c:smooth val="0"/>
                <c:extLst>
                  <c:ext xmlns:c16="http://schemas.microsoft.com/office/drawing/2014/chart" uri="{C3380CC4-5D6E-409C-BE32-E72D297353CC}">
                    <c16:uniqueId val="{00000002-C1BC-464F-BE94-87A2C9AD67DF}"/>
                  </c:ext>
                </c:extLst>
              </c15:ser>
            </c15:filteredLineSeries>
          </c:ext>
        </c:extLst>
      </c:lineChart>
      <c:catAx>
        <c:axId val="47389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894400"/>
        <c:crosses val="autoZero"/>
        <c:auto val="1"/>
        <c:lblAlgn val="ctr"/>
        <c:lblOffset val="100"/>
        <c:noMultiLvlLbl val="0"/>
      </c:catAx>
      <c:valAx>
        <c:axId val="473894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89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tx1"/>
                </a:solidFill>
                <a:latin typeface="+mn-lt"/>
                <a:ea typeface="+mn-ea"/>
                <a:cs typeface="+mn-cs"/>
              </a:defRPr>
            </a:pPr>
            <a:r>
              <a:rPr lang="en-US" sz="1600" b="1">
                <a:solidFill>
                  <a:schemeClr val="tx1"/>
                </a:solidFill>
              </a:rPr>
              <a:t>Currency in Circulation (million pesos) </a:t>
            </a:r>
          </a:p>
        </c:rich>
      </c:tx>
      <c:overlay val="0"/>
      <c:spPr>
        <a:noFill/>
        <a:ln>
          <a:noFill/>
        </a:ln>
        <a:effectLst/>
      </c:spPr>
      <c:txPr>
        <a:bodyPr rot="0" spcFirstLastPara="1" vertOverflow="ellipsis" vert="horz" wrap="square" anchor="ctr" anchorCtr="1"/>
        <a:lstStyle/>
        <a:p>
          <a:pPr>
            <a:defRPr sz="1600" b="0" i="0" u="none" strike="noStrike" kern="1200" cap="none" spc="2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'Currency Graph Depression'!$B$3</c:f>
              <c:strCache>
                <c:ptCount val="1"/>
                <c:pt idx="0">
                  <c:v>Currency in Circulation </c:v>
                </c:pt>
              </c:strCache>
            </c:strRef>
          </c:tx>
          <c:spPr>
            <a:ln w="22225" cap="rnd" cmpd="sng" algn="ctr">
              <a:solidFill>
                <a:schemeClr val="accent1"/>
              </a:solidFill>
              <a:round/>
            </a:ln>
            <a:effectLst/>
          </c:spPr>
          <c:marker>
            <c:symbol val="none"/>
          </c:marker>
          <c:cat>
            <c:numRef>
              <c:f>'Currency Graph Depression'!$A$4:$A$14</c:f>
              <c:numCache>
                <c:formatCode>General</c:formatCode>
                <c:ptCount val="11"/>
                <c:pt idx="0">
                  <c:v>1924</c:v>
                </c:pt>
                <c:pt idx="1">
                  <c:v>1925</c:v>
                </c:pt>
                <c:pt idx="2">
                  <c:v>1926</c:v>
                </c:pt>
                <c:pt idx="3">
                  <c:v>1927</c:v>
                </c:pt>
                <c:pt idx="4">
                  <c:v>1928</c:v>
                </c:pt>
                <c:pt idx="5">
                  <c:v>1929</c:v>
                </c:pt>
                <c:pt idx="6">
                  <c:v>1930</c:v>
                </c:pt>
                <c:pt idx="7">
                  <c:v>1931</c:v>
                </c:pt>
                <c:pt idx="8">
                  <c:v>1932</c:v>
                </c:pt>
                <c:pt idx="9">
                  <c:v>1933</c:v>
                </c:pt>
                <c:pt idx="10">
                  <c:v>1934</c:v>
                </c:pt>
              </c:numCache>
            </c:numRef>
          </c:cat>
          <c:val>
            <c:numRef>
              <c:f>'Currency Graph Depression'!$B$4:$B$14</c:f>
              <c:numCache>
                <c:formatCode>#,##0.0</c:formatCode>
                <c:ptCount val="11"/>
                <c:pt idx="0">
                  <c:v>124</c:v>
                </c:pt>
                <c:pt idx="1">
                  <c:v>132.19999999999999</c:v>
                </c:pt>
                <c:pt idx="2">
                  <c:v>123.6</c:v>
                </c:pt>
                <c:pt idx="3">
                  <c:v>127.4</c:v>
                </c:pt>
                <c:pt idx="4">
                  <c:v>129.6</c:v>
                </c:pt>
                <c:pt idx="5">
                  <c:v>123.5</c:v>
                </c:pt>
                <c:pt idx="6">
                  <c:v>108.5</c:v>
                </c:pt>
                <c:pt idx="7">
                  <c:v>99</c:v>
                </c:pt>
                <c:pt idx="8">
                  <c:v>88.4</c:v>
                </c:pt>
                <c:pt idx="9">
                  <c:v>99.9</c:v>
                </c:pt>
                <c:pt idx="10">
                  <c:v>101.4</c:v>
                </c:pt>
              </c:numCache>
            </c:numRef>
          </c:val>
          <c:smooth val="0"/>
          <c:extLst>
            <c:ext xmlns:c16="http://schemas.microsoft.com/office/drawing/2014/chart" uri="{C3380CC4-5D6E-409C-BE32-E72D297353CC}">
              <c16:uniqueId val="{00000000-6B38-4266-B85D-33FB17D2B796}"/>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81202944"/>
        <c:axId val="181204480"/>
      </c:lineChart>
      <c:catAx>
        <c:axId val="18120294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spc="20" baseline="0">
                <a:solidFill>
                  <a:schemeClr val="tx1"/>
                </a:solidFill>
                <a:latin typeface="+mn-lt"/>
                <a:ea typeface="+mn-ea"/>
                <a:cs typeface="+mn-cs"/>
              </a:defRPr>
            </a:pPr>
            <a:endParaRPr lang="en-US"/>
          </a:p>
        </c:txPr>
        <c:crossAx val="181204480"/>
        <c:crosses val="autoZero"/>
        <c:auto val="1"/>
        <c:lblAlgn val="ctr"/>
        <c:lblOffset val="100"/>
        <c:noMultiLvlLbl val="0"/>
      </c:catAx>
      <c:valAx>
        <c:axId val="181204480"/>
        <c:scaling>
          <c:orientation val="minMax"/>
        </c:scaling>
        <c:delete val="0"/>
        <c:axPos val="l"/>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spc="20" baseline="0">
                <a:solidFill>
                  <a:schemeClr val="tx1"/>
                </a:solidFill>
                <a:latin typeface="+mn-lt"/>
                <a:ea typeface="+mn-ea"/>
                <a:cs typeface="+mn-cs"/>
              </a:defRPr>
            </a:pPr>
            <a:endParaRPr lang="en-US"/>
          </a:p>
        </c:txPr>
        <c:crossAx val="181202944"/>
        <c:crosses val="autoZero"/>
        <c:crossBetween val="midCat"/>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r>
              <a:rPr lang="en-US" b="1">
                <a:solidFill>
                  <a:schemeClr val="tx1"/>
                </a:solidFill>
              </a:rPr>
              <a:t>Price of Dollar Exchange in Manilla (Par = 100)</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'Currency Funds and Export Graph'!$B$10</c:f>
              <c:strCache>
                <c:ptCount val="1"/>
                <c:pt idx="0">
                  <c:v>Price of Dollar Exchange in Manilla</c:v>
                </c:pt>
              </c:strCache>
            </c:strRef>
          </c:tx>
          <c:spPr>
            <a:ln w="22225" cap="rnd" cmpd="sng" algn="ctr">
              <a:solidFill>
                <a:schemeClr val="accent1"/>
              </a:solidFill>
              <a:round/>
            </a:ln>
            <a:effectLst/>
          </c:spPr>
          <c:marker>
            <c:symbol val="none"/>
          </c:marker>
          <c:cat>
            <c:strRef>
              <c:f>'Currency Funds and Export Graph'!$A$11:$A$16</c:f>
              <c:strCache>
                <c:ptCount val="6"/>
                <c:pt idx="0">
                  <c:v>January 1919</c:v>
                </c:pt>
                <c:pt idx="1">
                  <c:v>June 1919</c:v>
                </c:pt>
                <c:pt idx="2">
                  <c:v>January 1920</c:v>
                </c:pt>
                <c:pt idx="3">
                  <c:v>June 1920</c:v>
                </c:pt>
                <c:pt idx="4">
                  <c:v>January 1921</c:v>
                </c:pt>
                <c:pt idx="5">
                  <c:v>June 1921</c:v>
                </c:pt>
              </c:strCache>
            </c:strRef>
          </c:cat>
          <c:val>
            <c:numRef>
              <c:f>'Currency Funds and Export Graph'!$B$11:$B$16</c:f>
              <c:numCache>
                <c:formatCode>General</c:formatCode>
                <c:ptCount val="6"/>
                <c:pt idx="0">
                  <c:v>100.5</c:v>
                </c:pt>
                <c:pt idx="1">
                  <c:v>103</c:v>
                </c:pt>
                <c:pt idx="2">
                  <c:v>105</c:v>
                </c:pt>
                <c:pt idx="3">
                  <c:v>104.4</c:v>
                </c:pt>
                <c:pt idx="4">
                  <c:v>112.5</c:v>
                </c:pt>
                <c:pt idx="5">
                  <c:v>112.5</c:v>
                </c:pt>
              </c:numCache>
            </c:numRef>
          </c:val>
          <c:smooth val="0"/>
          <c:extLst>
            <c:ext xmlns:c16="http://schemas.microsoft.com/office/drawing/2014/chart" uri="{C3380CC4-5D6E-409C-BE32-E72D297353CC}">
              <c16:uniqueId val="{00000000-AD58-4C12-9F5B-D7138316AB66}"/>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86365056"/>
        <c:axId val="186366592"/>
      </c:lineChart>
      <c:catAx>
        <c:axId val="1863650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spc="20" baseline="0">
                <a:solidFill>
                  <a:schemeClr val="tx1"/>
                </a:solidFill>
                <a:latin typeface="+mn-lt"/>
                <a:ea typeface="+mn-ea"/>
                <a:cs typeface="+mn-cs"/>
              </a:defRPr>
            </a:pPr>
            <a:endParaRPr lang="en-US"/>
          </a:p>
        </c:txPr>
        <c:crossAx val="186366592"/>
        <c:crosses val="autoZero"/>
        <c:auto val="1"/>
        <c:lblAlgn val="ctr"/>
        <c:lblOffset val="100"/>
        <c:noMultiLvlLbl val="0"/>
      </c:catAx>
      <c:valAx>
        <c:axId val="186366592"/>
        <c:scaling>
          <c:orientation val="minMax"/>
          <c:max val="114"/>
          <c:min val="100"/>
        </c:scaling>
        <c:delete val="0"/>
        <c:axPos val="l"/>
        <c:numFmt formatCode="General"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spc="20" baseline="0">
                <a:solidFill>
                  <a:schemeClr val="tx1"/>
                </a:solidFill>
                <a:latin typeface="+mn-lt"/>
                <a:ea typeface="+mn-ea"/>
                <a:cs typeface="+mn-cs"/>
              </a:defRPr>
            </a:pPr>
            <a:endParaRPr lang="en-US"/>
          </a:p>
        </c:txPr>
        <c:crossAx val="186365056"/>
        <c:crosses val="autoZero"/>
        <c:crossBetween val="midCat"/>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1057275</xdr:colOff>
      <xdr:row>2</xdr:row>
      <xdr:rowOff>114300</xdr:rowOff>
    </xdr:from>
    <xdr:to>
      <xdr:col>5</xdr:col>
      <xdr:colOff>542926</xdr:colOff>
      <xdr:row>17</xdr:row>
      <xdr:rowOff>185738</xdr:rowOff>
    </xdr:to>
    <xdr:graphicFrame macro="">
      <xdr:nvGraphicFramePr>
        <xdr:cNvPr id="3" name="Chart 2">
          <a:extLst>
            <a:ext uri="{FF2B5EF4-FFF2-40B4-BE49-F238E27FC236}">
              <a16:creationId xmlns:a16="http://schemas.microsoft.com/office/drawing/2014/main" id="{ACAF1DE5-609C-4475-B48E-0B90F7CBE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742950</xdr:colOff>
      <xdr:row>8</xdr:row>
      <xdr:rowOff>42862</xdr:rowOff>
    </xdr:from>
    <xdr:to>
      <xdr:col>9</xdr:col>
      <xdr:colOff>333375</xdr:colOff>
      <xdr:row>22</xdr:row>
      <xdr:rowOff>119062</xdr:rowOff>
    </xdr:to>
    <xdr:graphicFrame macro="">
      <xdr:nvGraphicFramePr>
        <xdr:cNvPr id="2" name="Chart 1">
          <a:extLst>
            <a:ext uri="{FF2B5EF4-FFF2-40B4-BE49-F238E27FC236}">
              <a16:creationId xmlns:a16="http://schemas.microsoft.com/office/drawing/2014/main" id="{96C38D92-454C-4A98-9B19-26CDF9C97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285749</xdr:colOff>
      <xdr:row>8</xdr:row>
      <xdr:rowOff>47625</xdr:rowOff>
    </xdr:from>
    <xdr:to>
      <xdr:col>3</xdr:col>
      <xdr:colOff>523874</xdr:colOff>
      <xdr:row>22</xdr:row>
      <xdr:rowOff>123825</xdr:rowOff>
    </xdr:to>
    <xdr:graphicFrame macro="">
      <xdr:nvGraphicFramePr>
        <xdr:cNvPr id="3" name="Chart 2">
          <a:extLst>
            <a:ext uri="{FF2B5EF4-FFF2-40B4-BE49-F238E27FC236}">
              <a16:creationId xmlns:a16="http://schemas.microsoft.com/office/drawing/2014/main" id="{AD2DC458-503D-42DA-B1BF-842093C0D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238125</xdr:colOff>
      <xdr:row>67</xdr:row>
      <xdr:rowOff>9525</xdr:rowOff>
    </xdr:from>
    <xdr:to>
      <xdr:col>10</xdr:col>
      <xdr:colOff>352425</xdr:colOff>
      <xdr:row>81</xdr:row>
      <xdr:rowOff>85725</xdr:rowOff>
    </xdr:to>
    <xdr:graphicFrame macro="">
      <xdr:nvGraphicFramePr>
        <xdr:cNvPr id="7" name="Chart 6">
          <a:extLst>
            <a:ext uri="{FF2B5EF4-FFF2-40B4-BE49-F238E27FC236}">
              <a16:creationId xmlns:a16="http://schemas.microsoft.com/office/drawing/2014/main" id="{114CA974-6F47-43BC-8777-D2BC7CE95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923925</xdr:colOff>
      <xdr:row>67</xdr:row>
      <xdr:rowOff>9525</xdr:rowOff>
    </xdr:from>
    <xdr:to>
      <xdr:col>15</xdr:col>
      <xdr:colOff>1038225</xdr:colOff>
      <xdr:row>81</xdr:row>
      <xdr:rowOff>85725</xdr:rowOff>
    </xdr:to>
    <xdr:graphicFrame macro="">
      <xdr:nvGraphicFramePr>
        <xdr:cNvPr id="8" name="Chart 7">
          <a:extLst>
            <a:ext uri="{FF2B5EF4-FFF2-40B4-BE49-F238E27FC236}">
              <a16:creationId xmlns:a16="http://schemas.microsoft.com/office/drawing/2014/main" id="{3737F1B8-DC55-428D-B6A1-01892A48B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533400</xdr:colOff>
      <xdr:row>67</xdr:row>
      <xdr:rowOff>0</xdr:rowOff>
    </xdr:from>
    <xdr:to>
      <xdr:col>20</xdr:col>
      <xdr:colOff>647700</xdr:colOff>
      <xdr:row>81</xdr:row>
      <xdr:rowOff>76200</xdr:rowOff>
    </xdr:to>
    <xdr:graphicFrame macro="">
      <xdr:nvGraphicFramePr>
        <xdr:cNvPr id="9" name="Chart 8">
          <a:extLst>
            <a:ext uri="{FF2B5EF4-FFF2-40B4-BE49-F238E27FC236}">
              <a16:creationId xmlns:a16="http://schemas.microsoft.com/office/drawing/2014/main" id="{495443F9-FF4C-4898-A2DE-A1DABC183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838199</xdr:colOff>
      <xdr:row>67</xdr:row>
      <xdr:rowOff>0</xdr:rowOff>
    </xdr:from>
    <xdr:to>
      <xdr:col>5</xdr:col>
      <xdr:colOff>1000124</xdr:colOff>
      <xdr:row>81</xdr:row>
      <xdr:rowOff>95250</xdr:rowOff>
    </xdr:to>
    <xdr:graphicFrame macro="">
      <xdr:nvGraphicFramePr>
        <xdr:cNvPr id="10" name="Chart 9">
          <a:extLst>
            <a:ext uri="{FF2B5EF4-FFF2-40B4-BE49-F238E27FC236}">
              <a16:creationId xmlns:a16="http://schemas.microsoft.com/office/drawing/2014/main" id="{72FBE17A-7977-4E08-B10B-1ED3229F8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176212</xdr:rowOff>
    </xdr:from>
    <xdr:to>
      <xdr:col>10</xdr:col>
      <xdr:colOff>304800</xdr:colOff>
      <xdr:row>18</xdr:row>
      <xdr:rowOff>61912</xdr:rowOff>
    </xdr:to>
    <xdr:graphicFrame macro="">
      <xdr:nvGraphicFramePr>
        <xdr:cNvPr id="4" name="Chart 3">
          <a:extLst>
            <a:ext uri="{FF2B5EF4-FFF2-40B4-BE49-F238E27FC236}">
              <a16:creationId xmlns:a16="http://schemas.microsoft.com/office/drawing/2014/main" id="{285E6AF0-1D2A-41D6-A968-522C36963C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1000125</xdr:colOff>
      <xdr:row>7</xdr:row>
      <xdr:rowOff>157162</xdr:rowOff>
    </xdr:from>
    <xdr:to>
      <xdr:col>7</xdr:col>
      <xdr:colOff>390524</xdr:colOff>
      <xdr:row>22</xdr:row>
      <xdr:rowOff>42862</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0.13043</cdr:x>
      <cdr:y>0.18576</cdr:y>
    </cdr:from>
    <cdr:to>
      <cdr:x>0.53557</cdr:x>
      <cdr:y>0.41146</cdr:y>
    </cdr:to>
    <cdr:sp macro="" textlink="">
      <cdr:nvSpPr>
        <cdr:cNvPr id="2" name="TextBox 1">
          <a:extLst xmlns:a="http://schemas.openxmlformats.org/drawingml/2006/main">
            <a:ext uri="{FF2B5EF4-FFF2-40B4-BE49-F238E27FC236}">
              <a16:creationId xmlns:a16="http://schemas.microsoft.com/office/drawing/2014/main" id="{25C00FEE-DC9F-4841-B9E2-B1D6256B0ED5}"/>
            </a:ext>
          </a:extLst>
        </cdr:cNvPr>
        <cdr:cNvSpPr txBox="1"/>
      </cdr:nvSpPr>
      <cdr:spPr>
        <a:xfrm xmlns:a="http://schemas.openxmlformats.org/drawingml/2006/main">
          <a:off x="628650" y="509588"/>
          <a:ext cx="1952625"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Higher numbers</a:t>
          </a:r>
          <a:r>
            <a:rPr lang="en-US" sz="1100" baseline="0"/>
            <a:t> mean it took more pesos to buy a US dollar, hence the peso depreciated</a:t>
          </a:r>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561975</xdr:colOff>
      <xdr:row>4</xdr:row>
      <xdr:rowOff>23812</xdr:rowOff>
    </xdr:from>
    <xdr:to>
      <xdr:col>11</xdr:col>
      <xdr:colOff>257175</xdr:colOff>
      <xdr:row>18</xdr:row>
      <xdr:rowOff>100012</xdr:rowOff>
    </xdr:to>
    <xdr:graphicFrame macro="">
      <xdr:nvGraphicFramePr>
        <xdr:cNvPr id="2" name="Chart 1">
          <a:extLst>
            <a:ext uri="{FF2B5EF4-FFF2-40B4-BE49-F238E27FC236}">
              <a16:creationId xmlns:a16="http://schemas.microsoft.com/office/drawing/2014/main" id="{7E1432AA-480C-4E7E-BFB0-27C7D2955A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hilippines%20Stat%20Te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Net Foreign Assets/Monetary Base:</v>
          </cell>
          <cell r="D2" t="str">
            <v>Net Foreign Assets/Monetary Base:</v>
          </cell>
          <cell r="G2" t="str">
            <v>Net Domestic Assets/Monetary Base:</v>
          </cell>
          <cell r="Q2" t="str">
            <v>Change in Monetary Assets/Change in Foreign Assets</v>
          </cell>
          <cell r="T2" t="str">
            <v>Reserve Pass Through</v>
          </cell>
        </row>
        <row r="3">
          <cell r="A3">
            <v>1904</v>
          </cell>
          <cell r="B3">
            <v>344.70025323677049</v>
          </cell>
          <cell r="D3">
            <v>100</v>
          </cell>
          <cell r="F3">
            <v>1904</v>
          </cell>
          <cell r="G3">
            <v>0</v>
          </cell>
          <cell r="P3">
            <v>1904</v>
          </cell>
          <cell r="Q3">
            <v>0</v>
          </cell>
          <cell r="S3">
            <v>1904</v>
          </cell>
          <cell r="T3">
            <v>0</v>
          </cell>
        </row>
        <row r="4">
          <cell r="A4">
            <v>1905</v>
          </cell>
          <cell r="B4">
            <v>233.00485305322661</v>
          </cell>
          <cell r="D4">
            <v>100</v>
          </cell>
          <cell r="F4">
            <v>1905</v>
          </cell>
          <cell r="G4">
            <v>0</v>
          </cell>
          <cell r="P4">
            <v>1905</v>
          </cell>
          <cell r="Q4">
            <v>261.99766509157388</v>
          </cell>
          <cell r="S4">
            <v>1905</v>
          </cell>
          <cell r="T4">
            <v>-538.30414304006013</v>
          </cell>
        </row>
        <row r="5">
          <cell r="A5">
            <v>1906</v>
          </cell>
          <cell r="B5">
            <v>191.38264996878868</v>
          </cell>
          <cell r="D5">
            <v>100</v>
          </cell>
          <cell r="F5">
            <v>1906</v>
          </cell>
          <cell r="G5">
            <v>0</v>
          </cell>
          <cell r="P5">
            <v>1906</v>
          </cell>
          <cell r="Q5">
            <v>-369.66494596830864</v>
          </cell>
          <cell r="S5">
            <v>1906</v>
          </cell>
          <cell r="T5">
            <v>-70.941038397234863</v>
          </cell>
        </row>
        <row r="6">
          <cell r="A6">
            <v>1907</v>
          </cell>
          <cell r="B6">
            <v>111.29628475218666</v>
          </cell>
          <cell r="D6">
            <v>100</v>
          </cell>
          <cell r="F6">
            <v>1907</v>
          </cell>
          <cell r="G6">
            <v>3.2108182283915351E-3</v>
          </cell>
          <cell r="P6">
            <v>1907</v>
          </cell>
          <cell r="Q6">
            <v>-230.81866770160926</v>
          </cell>
          <cell r="S6">
            <v>1907</v>
          </cell>
          <cell r="T6">
            <v>-45.509470028061536</v>
          </cell>
        </row>
        <row r="7">
          <cell r="A7">
            <v>1908</v>
          </cell>
          <cell r="B7">
            <v>184.3754434762765</v>
          </cell>
          <cell r="D7">
            <v>100</v>
          </cell>
          <cell r="F7">
            <v>1908</v>
          </cell>
          <cell r="G7">
            <v>0</v>
          </cell>
          <cell r="P7">
            <v>1908</v>
          </cell>
          <cell r="Q7">
            <v>15.799204692110941</v>
          </cell>
          <cell r="S7">
            <v>1908</v>
          </cell>
          <cell r="T7">
            <v>0.48039441391112575</v>
          </cell>
        </row>
        <row r="8">
          <cell r="A8">
            <v>1909</v>
          </cell>
          <cell r="B8">
            <v>210.85183487037264</v>
          </cell>
          <cell r="D8">
            <v>100</v>
          </cell>
          <cell r="F8">
            <v>1909</v>
          </cell>
          <cell r="G8">
            <v>10.354814632735829</v>
          </cell>
          <cell r="P8">
            <v>1909</v>
          </cell>
          <cell r="Q8">
            <v>36.701662910933038</v>
          </cell>
          <cell r="S8">
            <v>1909</v>
          </cell>
          <cell r="T8">
            <v>88.317252103963568</v>
          </cell>
        </row>
        <row r="9">
          <cell r="A9">
            <v>1910</v>
          </cell>
          <cell r="B9">
            <v>213.04247196288745</v>
          </cell>
          <cell r="D9">
            <v>100</v>
          </cell>
          <cell r="F9">
            <v>1910</v>
          </cell>
          <cell r="G9">
            <v>14.927471449286948</v>
          </cell>
          <cell r="P9">
            <v>1910</v>
          </cell>
          <cell r="Q9">
            <v>93.622663504474474</v>
          </cell>
          <cell r="S9">
            <v>1910</v>
          </cell>
          <cell r="T9">
            <v>202.08179830560806</v>
          </cell>
        </row>
        <row r="10">
          <cell r="A10">
            <v>1911</v>
          </cell>
          <cell r="B10">
            <v>111.30958652627206</v>
          </cell>
          <cell r="D10">
            <v>100</v>
          </cell>
          <cell r="F10">
            <v>1911</v>
          </cell>
          <cell r="G10">
            <v>14.862197743485131</v>
          </cell>
          <cell r="P10">
            <v>1911</v>
          </cell>
          <cell r="Q10">
            <v>-3.5357081257374121</v>
          </cell>
          <cell r="S10">
            <v>1911</v>
          </cell>
          <cell r="T10">
            <v>25.023057745938527</v>
          </cell>
        </row>
        <row r="11">
          <cell r="A11">
            <v>1912</v>
          </cell>
          <cell r="B11">
            <v>96.430902295012643</v>
          </cell>
          <cell r="D11">
            <v>100</v>
          </cell>
          <cell r="F11">
            <v>1912</v>
          </cell>
          <cell r="G11">
            <v>28.142405800745387</v>
          </cell>
          <cell r="P11">
            <v>1912</v>
          </cell>
          <cell r="Q11">
            <v>-42.03533330921249</v>
          </cell>
          <cell r="S11">
            <v>1912</v>
          </cell>
          <cell r="T11">
            <v>-36.168212320051943</v>
          </cell>
        </row>
        <row r="12">
          <cell r="A12">
            <v>1913</v>
          </cell>
          <cell r="B12">
            <v>80.157596000437877</v>
          </cell>
          <cell r="D12">
            <v>100</v>
          </cell>
          <cell r="F12">
            <v>1913</v>
          </cell>
          <cell r="G12">
            <v>23.923311658000124</v>
          </cell>
          <cell r="P12">
            <v>1913</v>
          </cell>
          <cell r="Q12">
            <v>-27.053503726905646</v>
          </cell>
          <cell r="S12">
            <v>1913</v>
          </cell>
          <cell r="T12">
            <v>699.10388276480376</v>
          </cell>
        </row>
        <row r="13">
          <cell r="A13">
            <v>1914</v>
          </cell>
          <cell r="B13">
            <v>44.267144795883965</v>
          </cell>
          <cell r="D13">
            <v>100</v>
          </cell>
          <cell r="F13">
            <v>1914</v>
          </cell>
          <cell r="G13">
            <v>32.083045506969157</v>
          </cell>
          <cell r="P13">
            <v>1914</v>
          </cell>
          <cell r="Q13">
            <v>-17.126091900901457</v>
          </cell>
          <cell r="S13">
            <v>1914</v>
          </cell>
          <cell r="T13">
            <v>1482.0346758395767</v>
          </cell>
        </row>
        <row r="14">
          <cell r="A14">
            <v>1915</v>
          </cell>
          <cell r="B14">
            <v>41.887601799498739</v>
          </cell>
          <cell r="D14">
            <v>100</v>
          </cell>
          <cell r="F14">
            <v>1915</v>
          </cell>
          <cell r="G14">
            <v>41.293074255431783</v>
          </cell>
          <cell r="P14">
            <v>1915</v>
          </cell>
          <cell r="Q14">
            <v>2.5313336667325932</v>
          </cell>
          <cell r="S14">
            <v>1915</v>
          </cell>
          <cell r="T14">
            <v>-40.647247600797314</v>
          </cell>
        </row>
        <row r="15">
          <cell r="A15">
            <v>1916</v>
          </cell>
          <cell r="B15">
            <v>83.859769675028289</v>
          </cell>
          <cell r="D15">
            <v>100</v>
          </cell>
          <cell r="F15">
            <v>1916</v>
          </cell>
          <cell r="G15">
            <v>52.285367394440421</v>
          </cell>
          <cell r="P15">
            <v>1916</v>
          </cell>
          <cell r="Q15">
            <v>16.978842584746182</v>
          </cell>
          <cell r="S15">
            <v>1916</v>
          </cell>
          <cell r="T15">
            <v>-93.077967723013614</v>
          </cell>
        </row>
        <row r="16">
          <cell r="A16">
            <v>1917</v>
          </cell>
          <cell r="B16">
            <v>97.740239870141551</v>
          </cell>
          <cell r="D16">
            <v>100</v>
          </cell>
          <cell r="F16">
            <v>1917</v>
          </cell>
          <cell r="G16">
            <v>57.276162849826186</v>
          </cell>
          <cell r="P16">
            <v>1917</v>
          </cell>
          <cell r="Q16">
            <v>67.779997512827364</v>
          </cell>
          <cell r="S16">
            <v>1917</v>
          </cell>
          <cell r="T16">
            <v>8662.4760274423006</v>
          </cell>
        </row>
        <row r="17">
          <cell r="A17">
            <v>1918</v>
          </cell>
          <cell r="B17">
            <v>25.492309955706649</v>
          </cell>
          <cell r="D17">
            <v>100</v>
          </cell>
          <cell r="F17">
            <v>1918</v>
          </cell>
          <cell r="G17">
            <v>89.478085601921649</v>
          </cell>
          <cell r="P17">
            <v>1918</v>
          </cell>
          <cell r="Q17">
            <v>-40.02892671898281</v>
          </cell>
          <cell r="S17">
            <v>1918</v>
          </cell>
          <cell r="T17">
            <v>3.6435410613895796</v>
          </cell>
        </row>
        <row r="18">
          <cell r="A18">
            <v>1919</v>
          </cell>
          <cell r="B18">
            <v>21.252978818073672</v>
          </cell>
          <cell r="D18">
            <v>100</v>
          </cell>
          <cell r="F18">
            <v>1919</v>
          </cell>
          <cell r="G18">
            <v>70.595413541394535</v>
          </cell>
          <cell r="P18">
            <v>1919</v>
          </cell>
          <cell r="Q18">
            <v>-236.88005506833315</v>
          </cell>
          <cell r="S18">
            <v>1919</v>
          </cell>
          <cell r="T18">
            <v>75.776486891193699</v>
          </cell>
        </row>
        <row r="19">
          <cell r="A19">
            <v>1920</v>
          </cell>
          <cell r="B19">
            <v>7.3900314866574961</v>
          </cell>
          <cell r="D19">
            <v>100</v>
          </cell>
          <cell r="F19">
            <v>1920</v>
          </cell>
          <cell r="G19">
            <v>84.093993012018871</v>
          </cell>
          <cell r="P19">
            <v>1920</v>
          </cell>
          <cell r="Q19">
            <v>24.562253781534473</v>
          </cell>
          <cell r="S19">
            <v>1920</v>
          </cell>
          <cell r="T19">
            <v>86.800923512690702</v>
          </cell>
        </row>
        <row r="20">
          <cell r="A20">
            <v>1921</v>
          </cell>
          <cell r="B20">
            <v>7.0826319077804794</v>
          </cell>
          <cell r="D20">
            <v>100</v>
          </cell>
          <cell r="F20">
            <v>1921</v>
          </cell>
          <cell r="G20">
            <v>0.10024697869117492</v>
          </cell>
          <cell r="P20">
            <v>1921</v>
          </cell>
          <cell r="Q20">
            <v>23.73042736562908</v>
          </cell>
          <cell r="S20">
            <v>1921</v>
          </cell>
          <cell r="T20">
            <v>2.2715740938208948</v>
          </cell>
        </row>
        <row r="21">
          <cell r="A21">
            <v>1922</v>
          </cell>
          <cell r="B21">
            <v>7.1532698839992399</v>
          </cell>
          <cell r="D21">
            <v>100</v>
          </cell>
          <cell r="F21">
            <v>1922</v>
          </cell>
          <cell r="G21">
            <v>1.3481538615091476E-2</v>
          </cell>
          <cell r="P21">
            <v>1922</v>
          </cell>
          <cell r="Q21">
            <v>107.78856325536724</v>
          </cell>
          <cell r="S21">
            <v>1922</v>
          </cell>
          <cell r="T21">
            <v>24.409707440115312</v>
          </cell>
        </row>
        <row r="22">
          <cell r="A22">
            <v>1923</v>
          </cell>
          <cell r="B22">
            <v>66.695701883141524</v>
          </cell>
          <cell r="D22">
            <v>100</v>
          </cell>
          <cell r="F22">
            <v>1923</v>
          </cell>
          <cell r="G22">
            <v>-8.0087073323389362E-3</v>
          </cell>
          <cell r="P22">
            <v>1923</v>
          </cell>
          <cell r="Q22">
            <v>1.7620622126071934</v>
          </cell>
          <cell r="S22">
            <v>1923</v>
          </cell>
          <cell r="T22">
            <v>-162.38256466660283</v>
          </cell>
        </row>
        <row r="23">
          <cell r="A23">
            <v>1924</v>
          </cell>
          <cell r="B23">
            <v>70.109581207082499</v>
          </cell>
          <cell r="D23">
            <v>100</v>
          </cell>
          <cell r="F23">
            <v>1924</v>
          </cell>
          <cell r="G23">
            <v>0.39706726440351681</v>
          </cell>
          <cell r="P23">
            <v>1924</v>
          </cell>
          <cell r="Q23">
            <v>70.249301138013053</v>
          </cell>
          <cell r="S23">
            <v>1924</v>
          </cell>
          <cell r="T23">
            <v>63.530330116675394</v>
          </cell>
        </row>
        <row r="24">
          <cell r="A24">
            <v>1925</v>
          </cell>
          <cell r="B24">
            <v>88.464794038368851</v>
          </cell>
          <cell r="D24">
            <v>100</v>
          </cell>
          <cell r="F24">
            <v>1925</v>
          </cell>
          <cell r="G24">
            <v>0.39057422050091578</v>
          </cell>
          <cell r="P24">
            <v>1925</v>
          </cell>
          <cell r="Q24">
            <v>18.26926084890567</v>
          </cell>
          <cell r="S24">
            <v>1925</v>
          </cell>
          <cell r="T24">
            <v>27.281452798064947</v>
          </cell>
        </row>
        <row r="25">
          <cell r="A25">
            <v>1926</v>
          </cell>
          <cell r="B25">
            <v>89.612535263120535</v>
          </cell>
          <cell r="D25">
            <v>100</v>
          </cell>
          <cell r="F25">
            <v>1926</v>
          </cell>
          <cell r="G25">
            <v>0.57676122403867736</v>
          </cell>
          <cell r="P25">
            <v>1926</v>
          </cell>
          <cell r="Q25">
            <v>125.33294085253944</v>
          </cell>
          <cell r="S25">
            <v>1926</v>
          </cell>
          <cell r="T25">
            <v>103.74566877399671</v>
          </cell>
        </row>
        <row r="26">
          <cell r="A26">
            <v>1927</v>
          </cell>
          <cell r="B26">
            <v>91.507656405041388</v>
          </cell>
          <cell r="D26">
            <v>100</v>
          </cell>
          <cell r="F26">
            <v>1927</v>
          </cell>
          <cell r="G26">
            <v>0.57817198989047081</v>
          </cell>
          <cell r="P26">
            <v>1927</v>
          </cell>
          <cell r="Q26">
            <v>69.195472478623941</v>
          </cell>
          <cell r="S26">
            <v>1927</v>
          </cell>
          <cell r="T26">
            <v>105.90282644114323</v>
          </cell>
        </row>
        <row r="27">
          <cell r="A27">
            <v>1928</v>
          </cell>
          <cell r="B27">
            <v>97.506708315234718</v>
          </cell>
          <cell r="D27">
            <v>100</v>
          </cell>
          <cell r="F27">
            <v>1928</v>
          </cell>
          <cell r="G27">
            <v>0.75419607981962966</v>
          </cell>
          <cell r="P27">
            <v>1928</v>
          </cell>
          <cell r="Q27">
            <v>15.201105357082783</v>
          </cell>
          <cell r="S27">
            <v>1928</v>
          </cell>
          <cell r="T27">
            <v>15.113331147616559</v>
          </cell>
        </row>
        <row r="28">
          <cell r="A28">
            <v>1929</v>
          </cell>
          <cell r="B28">
            <v>110.26694315819809</v>
          </cell>
          <cell r="D28">
            <v>100</v>
          </cell>
          <cell r="F28">
            <v>1929</v>
          </cell>
          <cell r="G28">
            <v>1.1071071415056521</v>
          </cell>
          <cell r="P28">
            <v>1929</v>
          </cell>
          <cell r="Q28">
            <v>-47.334266464576409</v>
          </cell>
          <cell r="S28">
            <v>1929</v>
          </cell>
          <cell r="T28">
            <v>-38.82357004672415</v>
          </cell>
        </row>
        <row r="29">
          <cell r="A29">
            <v>1930</v>
          </cell>
          <cell r="B29">
            <v>125.53073238333398</v>
          </cell>
          <cell r="D29">
            <v>100</v>
          </cell>
          <cell r="F29">
            <v>1930</v>
          </cell>
          <cell r="G29">
            <v>1.8601967438076732</v>
          </cell>
          <cell r="P29">
            <v>1930</v>
          </cell>
          <cell r="Q29">
            <v>-312.78530015932824</v>
          </cell>
          <cell r="S29">
            <v>1930</v>
          </cell>
          <cell r="T29">
            <v>-1046.6875698670326</v>
          </cell>
        </row>
        <row r="30">
          <cell r="A30">
            <v>1931</v>
          </cell>
          <cell r="B30">
            <v>129.57163572714728</v>
          </cell>
          <cell r="D30">
            <v>100</v>
          </cell>
          <cell r="F30">
            <v>1931</v>
          </cell>
          <cell r="G30">
            <v>0.93256907723010629</v>
          </cell>
          <cell r="P30">
            <v>1931</v>
          </cell>
          <cell r="Q30">
            <v>185.20207596452525</v>
          </cell>
          <cell r="S30">
            <v>1931</v>
          </cell>
          <cell r="T30">
            <v>173.0746018112707</v>
          </cell>
        </row>
        <row r="31">
          <cell r="A31">
            <v>1932</v>
          </cell>
          <cell r="B31">
            <v>147.07140673531001</v>
          </cell>
          <cell r="D31">
            <v>100</v>
          </cell>
          <cell r="F31">
            <v>1932</v>
          </cell>
          <cell r="G31">
            <v>0.95253270665629863</v>
          </cell>
          <cell r="P31">
            <v>1932</v>
          </cell>
          <cell r="Q31">
            <v>-948.07378382273941</v>
          </cell>
          <cell r="S31">
            <v>1932</v>
          </cell>
          <cell r="T31">
            <v>426.0427907410633</v>
          </cell>
        </row>
        <row r="32">
          <cell r="A32">
            <v>1933</v>
          </cell>
          <cell r="B32">
            <v>131.73966088281512</v>
          </cell>
          <cell r="D32">
            <v>100</v>
          </cell>
          <cell r="F32">
            <v>1933</v>
          </cell>
          <cell r="G32">
            <v>0.5667476090058795</v>
          </cell>
          <cell r="P32">
            <v>1933</v>
          </cell>
          <cell r="Q32">
            <v>788.05448670851854</v>
          </cell>
          <cell r="S32">
            <v>1933</v>
          </cell>
          <cell r="T32">
            <v>199.23439251559421</v>
          </cell>
        </row>
        <row r="33">
          <cell r="A33">
            <v>1934</v>
          </cell>
          <cell r="B33">
            <v>138.65115213187465</v>
          </cell>
          <cell r="D33">
            <v>100</v>
          </cell>
          <cell r="F33">
            <v>1934</v>
          </cell>
          <cell r="G33">
            <v>0.46650644608901232</v>
          </cell>
          <cell r="P33">
            <v>1934</v>
          </cell>
          <cell r="Q33">
            <v>-190.28815132216531</v>
          </cell>
          <cell r="S33">
            <v>1934</v>
          </cell>
          <cell r="T33">
            <v>-109.29972873253897</v>
          </cell>
        </row>
        <row r="34">
          <cell r="A34">
            <v>1935</v>
          </cell>
          <cell r="B34">
            <v>136.83270403574178</v>
          </cell>
          <cell r="D34">
            <v>100</v>
          </cell>
          <cell r="F34">
            <v>1935</v>
          </cell>
          <cell r="G34">
            <v>1.2348699220227184</v>
          </cell>
          <cell r="P34">
            <v>1935</v>
          </cell>
          <cell r="Q34">
            <v>113.49768150790338</v>
          </cell>
          <cell r="S34">
            <v>1935</v>
          </cell>
          <cell r="T34">
            <v>99.895416053178749</v>
          </cell>
        </row>
        <row r="35">
          <cell r="A35">
            <v>1936</v>
          </cell>
          <cell r="B35">
            <v>124.94250395806377</v>
          </cell>
          <cell r="D35">
            <v>100</v>
          </cell>
          <cell r="F35">
            <v>1936</v>
          </cell>
          <cell r="G35">
            <v>0.69162753677174171</v>
          </cell>
          <cell r="P35">
            <v>1936</v>
          </cell>
          <cell r="Q35">
            <v>169.99159540372844</v>
          </cell>
          <cell r="S35">
            <v>1936</v>
          </cell>
          <cell r="T35">
            <v>193.97935070819497</v>
          </cell>
        </row>
        <row r="36">
          <cell r="A36">
            <v>1937</v>
          </cell>
          <cell r="B36">
            <v>119.95094240660637</v>
          </cell>
          <cell r="D36">
            <v>100</v>
          </cell>
          <cell r="F36">
            <v>1937</v>
          </cell>
          <cell r="G36">
            <v>0.74411210858876975</v>
          </cell>
          <cell r="P36">
            <v>1937</v>
          </cell>
          <cell r="Q36">
            <v>141.04033292053535</v>
          </cell>
          <cell r="S36">
            <v>1937</v>
          </cell>
          <cell r="T36">
            <v>185.21099027807259</v>
          </cell>
        </row>
        <row r="37">
          <cell r="A37">
            <v>1938</v>
          </cell>
          <cell r="B37">
            <v>109.40201162047674</v>
          </cell>
          <cell r="D37">
            <v>100</v>
          </cell>
          <cell r="F37">
            <v>1938</v>
          </cell>
          <cell r="G37">
            <v>0.73544908090904726</v>
          </cell>
          <cell r="P37">
            <v>1938</v>
          </cell>
          <cell r="Q37">
            <v>162.19007114458418</v>
          </cell>
          <cell r="S37">
            <v>1938</v>
          </cell>
          <cell r="T37">
            <v>181.32701841307636</v>
          </cell>
        </row>
        <row r="38">
          <cell r="A38">
            <v>1939</v>
          </cell>
          <cell r="B38">
            <v>104.98319928417381</v>
          </cell>
          <cell r="D38">
            <v>100</v>
          </cell>
          <cell r="F38">
            <v>1939</v>
          </cell>
          <cell r="G38">
            <v>0.73501809232933724</v>
          </cell>
          <cell r="P38">
            <v>1939</v>
          </cell>
          <cell r="Q38">
            <v>24.025458018987038</v>
          </cell>
          <cell r="S38">
            <v>1939</v>
          </cell>
          <cell r="T38">
            <v>24.108264222253112</v>
          </cell>
        </row>
        <row r="39">
          <cell r="A39">
            <v>1940</v>
          </cell>
          <cell r="B39">
            <v>108.65082528475108</v>
          </cell>
          <cell r="D39">
            <v>100</v>
          </cell>
          <cell r="F39">
            <v>1940</v>
          </cell>
          <cell r="G39">
            <v>7.635236606726821E-2</v>
          </cell>
          <cell r="P39">
            <v>1940</v>
          </cell>
          <cell r="Q39">
            <v>240.6755777679578</v>
          </cell>
          <cell r="S39">
            <v>1940</v>
          </cell>
          <cell r="T39">
            <v>233.53754934770436</v>
          </cell>
        </row>
      </sheetData>
    </sheetDataSet>
  </externalBook>
</externalLink>
</file>

<file path=xl/tables/table1.xml><?xml version="1.0" encoding="utf-8"?>
<table xmlns="http://schemas.openxmlformats.org/spreadsheetml/2006/main" id="1" name="Table1" displayName="Table1" ref="A3:D6" totalsRowShown="0">
  <autoFilter ref="A3:D6"/>
  <tableColumns count="4">
    <tableColumn id="1" name="Year"/>
    <tableColumn id="2" name="Gold Standard Fund" dataDxfId="2"/>
    <tableColumn id="3" name="Treasury Certificates" dataDxfId="1"/>
    <tableColumn id="4" name="Size Percentage" dataDxfId="0" dataCellStyle="Percent">
      <calculatedColumnFormula>(C4/B4)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krieger.jhu.edu/iae/econom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A10" sqref="A10"/>
    </sheetView>
  </sheetViews>
  <sheetFormatPr defaultRowHeight="15" x14ac:dyDescent="0.25"/>
  <cols>
    <col min="1" max="1" width="34.42578125" customWidth="1"/>
    <col min="2" max="2" width="59.42578125" customWidth="1"/>
    <col min="3" max="3" width="69.5703125" customWidth="1"/>
  </cols>
  <sheetData>
    <row r="1" spans="1:3" ht="18.75" x14ac:dyDescent="0.3">
      <c r="A1" s="44" t="s">
        <v>371</v>
      </c>
    </row>
    <row r="3" spans="1:3" ht="16.5" thickBot="1" x14ac:dyDescent="0.3">
      <c r="A3" s="45" t="s">
        <v>63</v>
      </c>
      <c r="B3" s="45" t="s">
        <v>64</v>
      </c>
      <c r="C3" s="45" t="s">
        <v>65</v>
      </c>
    </row>
    <row r="4" spans="1:3" x14ac:dyDescent="0.25">
      <c r="A4" t="s">
        <v>95</v>
      </c>
      <c r="B4" t="s">
        <v>66</v>
      </c>
    </row>
    <row r="5" spans="1:3" ht="15.75" x14ac:dyDescent="0.25">
      <c r="A5" t="s">
        <v>73</v>
      </c>
      <c r="B5" t="s">
        <v>351</v>
      </c>
      <c r="C5" s="152" t="s">
        <v>344</v>
      </c>
    </row>
    <row r="6" spans="1:3" ht="15.75" x14ac:dyDescent="0.25">
      <c r="A6" t="s">
        <v>74</v>
      </c>
      <c r="B6" t="s">
        <v>353</v>
      </c>
      <c r="C6" s="152" t="s">
        <v>344</v>
      </c>
    </row>
    <row r="7" spans="1:3" ht="15.75" x14ac:dyDescent="0.25">
      <c r="A7" t="s">
        <v>72</v>
      </c>
      <c r="B7" t="s">
        <v>349</v>
      </c>
      <c r="C7" s="152" t="s">
        <v>370</v>
      </c>
    </row>
    <row r="8" spans="1:3" ht="15.75" x14ac:dyDescent="0.25">
      <c r="A8" t="s">
        <v>71</v>
      </c>
      <c r="B8" t="s">
        <v>348</v>
      </c>
      <c r="C8" s="152" t="s">
        <v>345</v>
      </c>
    </row>
    <row r="9" spans="1:3" ht="15.75" x14ac:dyDescent="0.25">
      <c r="A9" t="s">
        <v>105</v>
      </c>
      <c r="B9" t="s">
        <v>350</v>
      </c>
      <c r="C9" s="152" t="s">
        <v>346</v>
      </c>
    </row>
    <row r="10" spans="1:3" ht="15.75" x14ac:dyDescent="0.25">
      <c r="A10" t="s">
        <v>92</v>
      </c>
      <c r="B10" t="s">
        <v>352</v>
      </c>
      <c r="C10" s="152" t="s">
        <v>345</v>
      </c>
    </row>
    <row r="11" spans="1:3" s="179" customFormat="1" ht="15.75" x14ac:dyDescent="0.25">
      <c r="A11" s="179" t="s">
        <v>417</v>
      </c>
      <c r="B11" s="179" t="s">
        <v>738</v>
      </c>
      <c r="C11" s="152" t="s">
        <v>369</v>
      </c>
    </row>
    <row r="12" spans="1:3" ht="15.75" x14ac:dyDescent="0.25">
      <c r="A12" t="s">
        <v>418</v>
      </c>
      <c r="B12" t="s">
        <v>348</v>
      </c>
      <c r="C12" s="152" t="s">
        <v>369</v>
      </c>
    </row>
    <row r="13" spans="1:3" ht="15.75" x14ac:dyDescent="0.25">
      <c r="A13" t="s">
        <v>30</v>
      </c>
      <c r="B13" t="s">
        <v>354</v>
      </c>
      <c r="C13" s="152" t="s">
        <v>370</v>
      </c>
    </row>
    <row r="14" spans="1:3" s="179" customFormat="1" ht="15.75" x14ac:dyDescent="0.25">
      <c r="A14" s="179" t="s">
        <v>726</v>
      </c>
      <c r="B14" s="179" t="s">
        <v>727</v>
      </c>
      <c r="C14" s="152" t="s">
        <v>370</v>
      </c>
    </row>
    <row r="15" spans="1:3" ht="15.75" x14ac:dyDescent="0.25">
      <c r="A15" t="s">
        <v>342</v>
      </c>
      <c r="B15" t="s">
        <v>368</v>
      </c>
      <c r="C15" s="46" t="s">
        <v>401</v>
      </c>
    </row>
    <row r="16" spans="1:3" ht="15.75" x14ac:dyDescent="0.25">
      <c r="A16" t="s">
        <v>343</v>
      </c>
      <c r="B16" t="s">
        <v>355</v>
      </c>
      <c r="C16" s="152" t="s">
        <v>344</v>
      </c>
    </row>
    <row r="17" spans="1:4" s="179" customFormat="1" x14ac:dyDescent="0.25">
      <c r="A17" s="179" t="s">
        <v>616</v>
      </c>
      <c r="B17" s="179" t="s">
        <v>617</v>
      </c>
      <c r="C17" s="70" t="s">
        <v>618</v>
      </c>
    </row>
    <row r="19" spans="1:4" ht="16.5" thickBot="1" x14ac:dyDescent="0.3">
      <c r="A19" s="45" t="s">
        <v>67</v>
      </c>
      <c r="B19" s="47"/>
      <c r="C19" s="47"/>
    </row>
    <row r="20" spans="1:4" ht="15.75" x14ac:dyDescent="0.25">
      <c r="A20" t="s">
        <v>347</v>
      </c>
      <c r="D20" s="48"/>
    </row>
    <row r="21" spans="1:4" ht="15.75" x14ac:dyDescent="0.25">
      <c r="A21" t="s">
        <v>356</v>
      </c>
      <c r="D21" s="48"/>
    </row>
    <row r="22" spans="1:4" x14ac:dyDescent="0.25">
      <c r="A22" t="s">
        <v>68</v>
      </c>
    </row>
    <row r="23" spans="1:4" x14ac:dyDescent="0.25">
      <c r="A23" t="s">
        <v>736</v>
      </c>
    </row>
    <row r="24" spans="1:4" x14ac:dyDescent="0.25">
      <c r="A24" t="s">
        <v>69</v>
      </c>
    </row>
    <row r="25" spans="1:4" ht="15.75" x14ac:dyDescent="0.25">
      <c r="A25" s="49" t="s">
        <v>70</v>
      </c>
    </row>
    <row r="26" spans="1:4" x14ac:dyDescent="0.25">
      <c r="A26" t="s">
        <v>97</v>
      </c>
    </row>
    <row r="27" spans="1:4" ht="15.75" x14ac:dyDescent="0.25">
      <c r="A27" t="s">
        <v>96</v>
      </c>
      <c r="D27" s="46"/>
    </row>
    <row r="28" spans="1:4" ht="15.75" x14ac:dyDescent="0.25">
      <c r="D28" s="46"/>
    </row>
    <row r="29" spans="1:4" ht="16.5" thickBot="1" x14ac:dyDescent="0.3">
      <c r="A29" s="45" t="s">
        <v>65</v>
      </c>
      <c r="B29" s="47"/>
      <c r="C29" s="47"/>
      <c r="D29" s="46"/>
    </row>
    <row r="30" spans="1:4" x14ac:dyDescent="0.25">
      <c r="A30" s="43" t="s">
        <v>366</v>
      </c>
    </row>
    <row r="31" spans="1:4" s="153" customFormat="1" ht="12.75" customHeight="1" x14ac:dyDescent="0.25">
      <c r="A31" s="156" t="s">
        <v>357</v>
      </c>
      <c r="B31" s="154"/>
      <c r="C31" s="154"/>
    </row>
    <row r="32" spans="1:4" x14ac:dyDescent="0.25">
      <c r="A32" s="70" t="s">
        <v>615</v>
      </c>
    </row>
    <row r="33" spans="1:3" s="179" customFormat="1" x14ac:dyDescent="0.25">
      <c r="A33" s="70" t="s">
        <v>643</v>
      </c>
    </row>
    <row r="34" spans="1:3" s="153" customFormat="1" ht="12.75" customHeight="1" x14ac:dyDescent="0.25">
      <c r="A34" s="157" t="s">
        <v>358</v>
      </c>
      <c r="B34" s="155"/>
      <c r="C34" s="155"/>
    </row>
    <row r="35" spans="1:3" s="153" customFormat="1" ht="12.75" customHeight="1" x14ac:dyDescent="0.25">
      <c r="A35" s="157" t="s">
        <v>359</v>
      </c>
      <c r="B35" s="155"/>
      <c r="C35" s="155"/>
    </row>
    <row r="36" spans="1:3" s="153" customFormat="1" ht="12.75" customHeight="1" x14ac:dyDescent="0.25">
      <c r="A36" s="157" t="s">
        <v>360</v>
      </c>
      <c r="B36" s="155"/>
      <c r="C36" s="155"/>
    </row>
    <row r="37" spans="1:3" s="153" customFormat="1" ht="12.75" customHeight="1" x14ac:dyDescent="0.25">
      <c r="A37" s="157" t="s">
        <v>361</v>
      </c>
      <c r="B37" s="155"/>
      <c r="C37" s="155"/>
    </row>
    <row r="38" spans="1:3" s="153" customFormat="1" ht="12.75" customHeight="1" x14ac:dyDescent="0.25">
      <c r="A38" s="156" t="s">
        <v>362</v>
      </c>
      <c r="B38" s="154"/>
      <c r="C38" s="154"/>
    </row>
    <row r="39" spans="1:3" s="153" customFormat="1" ht="12.75" customHeight="1" x14ac:dyDescent="0.25">
      <c r="A39" s="156" t="s">
        <v>363</v>
      </c>
      <c r="B39" s="154"/>
      <c r="C39" s="154"/>
    </row>
    <row r="40" spans="1:3" s="153" customFormat="1" ht="12.75" customHeight="1" x14ac:dyDescent="0.25">
      <c r="A40" s="156" t="s">
        <v>364</v>
      </c>
      <c r="B40" s="154"/>
      <c r="C40" s="154"/>
    </row>
    <row r="41" spans="1:3" ht="12.75" customHeight="1" x14ac:dyDescent="0.25">
      <c r="A41" t="s">
        <v>367</v>
      </c>
    </row>
    <row r="42" spans="1:3" ht="12.75" customHeight="1" x14ac:dyDescent="0.25">
      <c r="A42" t="s">
        <v>477</v>
      </c>
    </row>
    <row r="43" spans="1:3" ht="12.75" customHeight="1" x14ac:dyDescent="0.25">
      <c r="A43" s="158" t="s">
        <v>365</v>
      </c>
    </row>
    <row r="45" spans="1:3" ht="16.5" thickBot="1" x14ac:dyDescent="0.3">
      <c r="A45" s="45" t="s">
        <v>372</v>
      </c>
      <c r="B45" s="47"/>
      <c r="C45" s="47"/>
    </row>
    <row r="46" spans="1:3" x14ac:dyDescent="0.25">
      <c r="A46" t="s">
        <v>373</v>
      </c>
    </row>
  </sheetData>
  <hyperlinks>
    <hyperlink ref="A2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zoomScaleNormal="100" workbookViewId="0">
      <pane xSplit="1" ySplit="6" topLeftCell="B7" activePane="bottomRight" state="frozen"/>
      <selection pane="topRight" activeCell="B1" sqref="B1"/>
      <selection pane="bottomLeft" activeCell="A4" sqref="A4"/>
      <selection pane="bottomRight" activeCell="A5" sqref="A5"/>
    </sheetView>
  </sheetViews>
  <sheetFormatPr defaultColWidth="15.7109375" defaultRowHeight="15" x14ac:dyDescent="0.25"/>
  <cols>
    <col min="1" max="1" width="28" style="24" customWidth="1"/>
    <col min="2" max="2" width="8.5703125" style="24" customWidth="1"/>
    <col min="3" max="9" width="15.7109375" style="6"/>
    <col min="10" max="10" width="41.140625" style="20" customWidth="1"/>
    <col min="11" max="11" width="15.7109375" style="40"/>
    <col min="12" max="18" width="15.7109375" style="20"/>
    <col min="19" max="16384" width="15.7109375" style="1"/>
  </cols>
  <sheetData>
    <row r="1" spans="1:52" ht="18.75" x14ac:dyDescent="0.3">
      <c r="A1" s="58" t="s">
        <v>29</v>
      </c>
      <c r="B1" s="58"/>
      <c r="C1" s="7"/>
      <c r="D1" s="7"/>
      <c r="E1" s="7"/>
      <c r="F1" s="7"/>
      <c r="G1" s="7"/>
      <c r="H1" s="7"/>
      <c r="I1" s="7"/>
      <c r="J1" s="19"/>
      <c r="K1" s="220"/>
      <c r="L1" s="19"/>
      <c r="M1" s="19"/>
      <c r="N1" s="19"/>
      <c r="O1" s="19"/>
      <c r="P1" s="19"/>
      <c r="Q1" s="19"/>
      <c r="R1" s="19"/>
    </row>
    <row r="2" spans="1:52" x14ac:dyDescent="0.25">
      <c r="A2" s="1" t="s">
        <v>238</v>
      </c>
      <c r="B2" s="1"/>
    </row>
    <row r="3" spans="1:52" x14ac:dyDescent="0.25">
      <c r="A3" s="24" t="s">
        <v>199</v>
      </c>
    </row>
    <row r="4" spans="1:52" x14ac:dyDescent="0.25">
      <c r="A4" s="28" t="s">
        <v>267</v>
      </c>
    </row>
    <row r="6" spans="1:52" s="22" customFormat="1" x14ac:dyDescent="0.25">
      <c r="A6" s="23" t="s">
        <v>32</v>
      </c>
      <c r="B6" s="23" t="s">
        <v>99</v>
      </c>
      <c r="C6" s="19" t="s">
        <v>232</v>
      </c>
      <c r="D6" s="19" t="s">
        <v>610</v>
      </c>
      <c r="E6" s="19" t="s">
        <v>233</v>
      </c>
      <c r="F6" s="19" t="s">
        <v>237</v>
      </c>
      <c r="G6" s="19" t="s">
        <v>234</v>
      </c>
      <c r="H6" s="19" t="s">
        <v>235</v>
      </c>
      <c r="I6" s="19" t="s">
        <v>236</v>
      </c>
      <c r="J6" s="21" t="s">
        <v>31</v>
      </c>
      <c r="K6" s="21" t="s">
        <v>98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s="22" customFormat="1" x14ac:dyDescent="0.25">
      <c r="A7" s="23" t="s">
        <v>265</v>
      </c>
      <c r="B7" s="23"/>
      <c r="C7" s="19"/>
      <c r="D7" s="19"/>
      <c r="E7" s="19"/>
      <c r="F7" s="19"/>
      <c r="G7" s="19"/>
      <c r="H7" s="19"/>
      <c r="I7" s="19"/>
      <c r="J7" s="21"/>
      <c r="K7" s="220"/>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s="94" customFormat="1" x14ac:dyDescent="0.25">
      <c r="A8" s="23">
        <v>1899</v>
      </c>
      <c r="B8" s="93" t="s">
        <v>101</v>
      </c>
      <c r="C8" s="25">
        <v>3558692.83</v>
      </c>
      <c r="D8" s="25"/>
      <c r="E8" s="25">
        <v>2376327.12</v>
      </c>
      <c r="F8" s="25">
        <v>1182365.71</v>
      </c>
      <c r="G8" s="25">
        <v>3558692.83</v>
      </c>
      <c r="H8" s="25">
        <v>2376327.12</v>
      </c>
      <c r="I8" s="25">
        <v>1182365.71</v>
      </c>
      <c r="J8" s="95" t="s">
        <v>608</v>
      </c>
      <c r="K8" s="61"/>
    </row>
    <row r="9" spans="1:52" s="94" customFormat="1" x14ac:dyDescent="0.25">
      <c r="A9" s="23">
        <v>1900</v>
      </c>
      <c r="B9" s="93" t="s">
        <v>101</v>
      </c>
      <c r="C9" s="25">
        <v>6899340.5300000003</v>
      </c>
      <c r="D9" s="25"/>
      <c r="E9" s="25">
        <v>4758793.66</v>
      </c>
      <c r="F9" s="25">
        <v>2140546.87</v>
      </c>
      <c r="G9" s="25">
        <v>6899340.5300000003</v>
      </c>
      <c r="H9" s="25">
        <v>4758793.66</v>
      </c>
      <c r="I9" s="25">
        <v>2140546.87</v>
      </c>
      <c r="J9" s="95" t="s">
        <v>608</v>
      </c>
      <c r="K9" s="61"/>
    </row>
    <row r="10" spans="1:52" s="94" customFormat="1" x14ac:dyDescent="0.25">
      <c r="A10" s="23">
        <v>1901</v>
      </c>
      <c r="B10" s="93" t="s">
        <v>101</v>
      </c>
      <c r="C10" s="25">
        <v>10753459.949999999</v>
      </c>
      <c r="D10" s="25"/>
      <c r="E10" s="25">
        <v>6451528.3700000001</v>
      </c>
      <c r="F10" s="25">
        <v>4301931.5799999991</v>
      </c>
      <c r="G10" s="25">
        <v>10753459.949999999</v>
      </c>
      <c r="H10" s="25">
        <v>6451528.3700000001</v>
      </c>
      <c r="I10" s="25">
        <v>4301931.5799999991</v>
      </c>
      <c r="J10" s="95" t="s">
        <v>608</v>
      </c>
      <c r="K10" s="61"/>
    </row>
    <row r="11" spans="1:52" s="94" customFormat="1" x14ac:dyDescent="0.25">
      <c r="A11" s="23">
        <v>1902</v>
      </c>
      <c r="B11" s="93" t="s">
        <v>101</v>
      </c>
      <c r="C11" s="25">
        <v>9371283.1099999994</v>
      </c>
      <c r="D11" s="25"/>
      <c r="E11" s="25">
        <v>8189404.5899999999</v>
      </c>
      <c r="F11" s="25">
        <v>1181878.5199999996</v>
      </c>
      <c r="G11" s="25">
        <v>12579357.199999999</v>
      </c>
      <c r="H11" s="25">
        <v>10444857.619999999</v>
      </c>
      <c r="I11" s="25">
        <v>2134499.58</v>
      </c>
      <c r="J11" s="95" t="s">
        <v>608</v>
      </c>
      <c r="K11" s="61"/>
    </row>
    <row r="12" spans="1:52" x14ac:dyDescent="0.25">
      <c r="A12" s="23">
        <v>1903</v>
      </c>
      <c r="B12" s="93" t="s">
        <v>101</v>
      </c>
      <c r="C12" s="25">
        <v>10757455.630000001</v>
      </c>
      <c r="D12" s="25"/>
      <c r="E12" s="60">
        <v>10249583.4</v>
      </c>
      <c r="F12" s="25">
        <v>507872.23000000045</v>
      </c>
      <c r="G12" s="57">
        <v>14826284.41</v>
      </c>
      <c r="H12" s="57">
        <v>13408106.289999999</v>
      </c>
      <c r="I12" s="25">
        <v>1418178.120000001</v>
      </c>
      <c r="J12" s="95" t="s">
        <v>608</v>
      </c>
    </row>
    <row r="13" spans="1:52" x14ac:dyDescent="0.25">
      <c r="A13" s="23">
        <v>1904</v>
      </c>
      <c r="B13" s="93" t="s">
        <v>101</v>
      </c>
      <c r="C13" s="60">
        <v>10249263.98</v>
      </c>
      <c r="D13" s="60"/>
      <c r="E13" s="60">
        <v>11249583.4</v>
      </c>
      <c r="F13" s="25">
        <v>-1000319.4199999999</v>
      </c>
      <c r="G13" s="57">
        <v>15476233.42</v>
      </c>
      <c r="H13" s="57">
        <v>15040691.98</v>
      </c>
      <c r="I13" s="25">
        <v>435541.43999999948</v>
      </c>
      <c r="J13" s="95" t="s">
        <v>608</v>
      </c>
    </row>
    <row r="14" spans="1:52" x14ac:dyDescent="0.25">
      <c r="A14" s="23">
        <v>1905</v>
      </c>
      <c r="B14" s="93" t="s">
        <v>101</v>
      </c>
      <c r="C14" s="60">
        <v>11549495.369999999</v>
      </c>
      <c r="D14" s="60"/>
      <c r="E14" s="60">
        <v>12248857.33</v>
      </c>
      <c r="F14" s="25">
        <v>-699361.96000000089</v>
      </c>
      <c r="G14" s="57">
        <v>16098574.1</v>
      </c>
      <c r="H14" s="57">
        <v>16297280.539999999</v>
      </c>
      <c r="I14" s="25">
        <v>-198706.43999999948</v>
      </c>
      <c r="J14" s="95" t="s">
        <v>608</v>
      </c>
    </row>
    <row r="15" spans="1:52" x14ac:dyDescent="0.25">
      <c r="A15" s="23">
        <v>1906</v>
      </c>
      <c r="B15" s="93" t="s">
        <v>101</v>
      </c>
      <c r="C15" s="60">
        <v>11468067.16</v>
      </c>
      <c r="D15" s="60"/>
      <c r="E15" s="60">
        <v>10146779.119999999</v>
      </c>
      <c r="F15" s="25">
        <v>1321288.040000001</v>
      </c>
      <c r="G15" s="57">
        <v>17972929.030000001</v>
      </c>
      <c r="H15" s="57">
        <v>16974262.670000002</v>
      </c>
      <c r="I15" s="25">
        <v>998666.3599999994</v>
      </c>
      <c r="J15" s="95" t="s">
        <v>608</v>
      </c>
    </row>
    <row r="16" spans="1:52" x14ac:dyDescent="0.25">
      <c r="A16" s="23">
        <v>1907</v>
      </c>
      <c r="B16" s="93" t="s">
        <v>101</v>
      </c>
      <c r="C16" s="60">
        <v>11149619.25</v>
      </c>
      <c r="D16" s="60"/>
      <c r="E16" s="60">
        <v>8408012.8399999999</v>
      </c>
      <c r="F16" s="25">
        <v>2741606.41</v>
      </c>
      <c r="G16" s="57">
        <v>17455489.489999998</v>
      </c>
      <c r="H16" s="57">
        <v>14706852.439999999</v>
      </c>
      <c r="I16" s="25">
        <v>2748637.0499999989</v>
      </c>
      <c r="J16" s="95" t="s">
        <v>608</v>
      </c>
    </row>
    <row r="17" spans="1:10" x14ac:dyDescent="0.25">
      <c r="A17" s="23">
        <v>1908</v>
      </c>
      <c r="B17" s="93" t="s">
        <v>101</v>
      </c>
      <c r="C17" s="60">
        <v>10899261.439999999</v>
      </c>
      <c r="D17" s="60"/>
      <c r="E17" s="60">
        <v>11469785.640000001</v>
      </c>
      <c r="F17" s="25">
        <v>-570524.20000000112</v>
      </c>
      <c r="G17" s="57">
        <v>17698559.91</v>
      </c>
      <c r="H17" s="57">
        <v>17735051.82</v>
      </c>
      <c r="I17" s="25">
        <v>-36491.910000000149</v>
      </c>
      <c r="J17" s="95" t="s">
        <v>608</v>
      </c>
    </row>
    <row r="18" spans="1:10" x14ac:dyDescent="0.25">
      <c r="A18" s="23">
        <v>1909</v>
      </c>
      <c r="B18" s="93" t="s">
        <v>101</v>
      </c>
      <c r="C18" s="60">
        <v>11369733.560000001</v>
      </c>
      <c r="D18" s="60"/>
      <c r="E18" s="60">
        <v>11733600.859999999</v>
      </c>
      <c r="F18" s="25">
        <v>-363867.29999999888</v>
      </c>
      <c r="G18" s="57">
        <v>19363949.510000002</v>
      </c>
      <c r="H18" s="57">
        <v>19358512.48</v>
      </c>
      <c r="I18" s="25">
        <v>5437.0300000011921</v>
      </c>
      <c r="J18" s="95" t="s">
        <v>608</v>
      </c>
    </row>
    <row r="19" spans="1:10" x14ac:dyDescent="0.25">
      <c r="A19" s="23"/>
      <c r="B19" s="93"/>
      <c r="C19" s="60"/>
      <c r="D19" s="60"/>
      <c r="E19" s="60"/>
      <c r="F19" s="25"/>
      <c r="G19" s="57"/>
      <c r="H19" s="57"/>
      <c r="I19" s="25"/>
      <c r="J19" s="95"/>
    </row>
    <row r="20" spans="1:10" x14ac:dyDescent="0.25">
      <c r="A20" s="23" t="s">
        <v>266</v>
      </c>
      <c r="B20" s="93"/>
      <c r="C20" s="60"/>
      <c r="D20" s="60"/>
      <c r="E20" s="60"/>
      <c r="F20" s="25"/>
      <c r="G20" s="57"/>
      <c r="H20" s="57"/>
      <c r="I20" s="25"/>
      <c r="J20" s="95"/>
    </row>
    <row r="21" spans="1:10" x14ac:dyDescent="0.25">
      <c r="A21" s="30">
        <v>1899</v>
      </c>
      <c r="B21" s="28" t="s">
        <v>100</v>
      </c>
      <c r="C21" s="98">
        <v>7117385.6600000001</v>
      </c>
      <c r="D21" s="98"/>
      <c r="E21" s="98">
        <v>4752654.24</v>
      </c>
      <c r="F21" s="98">
        <v>2364731.42</v>
      </c>
      <c r="G21" s="98">
        <v>7117385.6600000001</v>
      </c>
      <c r="H21" s="98">
        <v>4752654.24</v>
      </c>
      <c r="I21" s="98">
        <v>2364731.42</v>
      </c>
      <c r="J21" s="95" t="s">
        <v>608</v>
      </c>
    </row>
    <row r="22" spans="1:10" x14ac:dyDescent="0.25">
      <c r="A22" s="30">
        <v>1900</v>
      </c>
      <c r="B22" s="28" t="s">
        <v>100</v>
      </c>
      <c r="C22" s="98">
        <v>13798681.060000001</v>
      </c>
      <c r="D22" s="98"/>
      <c r="E22" s="98">
        <v>9517587.3200000003</v>
      </c>
      <c r="F22" s="98">
        <v>4281093.74</v>
      </c>
      <c r="G22" s="98">
        <v>13798681.060000001</v>
      </c>
      <c r="H22" s="98">
        <v>9517587.3200000003</v>
      </c>
      <c r="I22" s="98">
        <v>4281093.74</v>
      </c>
      <c r="J22" s="95" t="s">
        <v>608</v>
      </c>
    </row>
    <row r="23" spans="1:10" x14ac:dyDescent="0.25">
      <c r="A23" s="30">
        <v>1901</v>
      </c>
      <c r="B23" s="28" t="s">
        <v>100</v>
      </c>
      <c r="C23" s="98">
        <v>21506919.899999999</v>
      </c>
      <c r="D23" s="98"/>
      <c r="E23" s="98">
        <v>12903056.74</v>
      </c>
      <c r="F23" s="98">
        <v>8603863.1599999983</v>
      </c>
      <c r="G23" s="98">
        <v>21506919.899999999</v>
      </c>
      <c r="H23" s="98">
        <v>12903056.74</v>
      </c>
      <c r="I23" s="98">
        <v>8603863.1599999983</v>
      </c>
      <c r="J23" s="95" t="s">
        <v>608</v>
      </c>
    </row>
    <row r="24" spans="1:10" x14ac:dyDescent="0.25">
      <c r="A24" s="30">
        <v>1902</v>
      </c>
      <c r="B24" s="28" t="s">
        <v>100</v>
      </c>
      <c r="C24" s="98">
        <v>18742566.219999999</v>
      </c>
      <c r="D24" s="98"/>
      <c r="E24" s="98">
        <v>16378809.18</v>
      </c>
      <c r="F24" s="98">
        <v>2363757.0399999991</v>
      </c>
      <c r="G24" s="98">
        <v>25158714.399999999</v>
      </c>
      <c r="H24" s="98">
        <v>20889715.239999998</v>
      </c>
      <c r="I24" s="98">
        <v>4268999.16</v>
      </c>
      <c r="J24" s="95" t="s">
        <v>608</v>
      </c>
    </row>
    <row r="25" spans="1:10" x14ac:dyDescent="0.25">
      <c r="A25" s="30">
        <v>1903</v>
      </c>
      <c r="B25" s="28" t="s">
        <v>100</v>
      </c>
      <c r="C25" s="98">
        <v>21514911.260000002</v>
      </c>
      <c r="D25" s="98"/>
      <c r="E25" s="98">
        <v>20499166.800000001</v>
      </c>
      <c r="F25" s="98">
        <v>1015744.4600000009</v>
      </c>
      <c r="G25" s="98">
        <v>29652568.82</v>
      </c>
      <c r="H25" s="98">
        <v>26816212.579999998</v>
      </c>
      <c r="I25" s="98">
        <v>2836356.2400000021</v>
      </c>
      <c r="J25" s="95" t="s">
        <v>608</v>
      </c>
    </row>
    <row r="26" spans="1:10" x14ac:dyDescent="0.25">
      <c r="A26" s="30">
        <v>1904</v>
      </c>
      <c r="B26" s="28" t="s">
        <v>100</v>
      </c>
      <c r="C26" s="98">
        <v>20498527.960000001</v>
      </c>
      <c r="D26" s="98"/>
      <c r="E26" s="98">
        <v>22499166.800000001</v>
      </c>
      <c r="F26" s="98">
        <v>-2000638.8399999999</v>
      </c>
      <c r="G26" s="98">
        <v>30952466.84</v>
      </c>
      <c r="H26" s="98">
        <v>30081383.960000001</v>
      </c>
      <c r="I26" s="98">
        <v>871082.87999999896</v>
      </c>
      <c r="J26" s="95" t="s">
        <v>608</v>
      </c>
    </row>
    <row r="27" spans="1:10" x14ac:dyDescent="0.25">
      <c r="A27" s="30">
        <v>1905</v>
      </c>
      <c r="B27" s="28" t="s">
        <v>100</v>
      </c>
      <c r="C27" s="98">
        <v>23098990.739999998</v>
      </c>
      <c r="D27" s="98"/>
      <c r="E27" s="98">
        <v>24497714.66</v>
      </c>
      <c r="F27" s="98">
        <v>-1398723.9200000018</v>
      </c>
      <c r="G27" s="98">
        <v>32197148.199999999</v>
      </c>
      <c r="H27" s="98">
        <v>32594561.079999998</v>
      </c>
      <c r="I27" s="98">
        <v>-397412.87999999896</v>
      </c>
      <c r="J27" s="95" t="s">
        <v>608</v>
      </c>
    </row>
    <row r="28" spans="1:10" x14ac:dyDescent="0.25">
      <c r="A28" s="30">
        <v>1906</v>
      </c>
      <c r="B28" s="28" t="s">
        <v>100</v>
      </c>
      <c r="C28" s="98">
        <v>22936134.32</v>
      </c>
      <c r="D28" s="98"/>
      <c r="E28" s="98">
        <v>20293558.239999998</v>
      </c>
      <c r="F28" s="98">
        <v>2642576.0800000019</v>
      </c>
      <c r="G28" s="98">
        <v>35945858.060000002</v>
      </c>
      <c r="H28" s="98">
        <v>33948525.340000004</v>
      </c>
      <c r="I28" s="98">
        <v>1997332.7199999988</v>
      </c>
      <c r="J28" s="95" t="s">
        <v>608</v>
      </c>
    </row>
    <row r="29" spans="1:10" x14ac:dyDescent="0.25">
      <c r="A29" s="30">
        <v>1907</v>
      </c>
      <c r="B29" s="28" t="s">
        <v>100</v>
      </c>
      <c r="C29" s="98">
        <v>22299238.5</v>
      </c>
      <c r="D29" s="98"/>
      <c r="E29" s="98">
        <v>16816025.68</v>
      </c>
      <c r="F29" s="98">
        <v>5483212.8200000003</v>
      </c>
      <c r="G29" s="98">
        <v>34910978.979999997</v>
      </c>
      <c r="H29" s="98">
        <v>29413704.879999999</v>
      </c>
      <c r="I29" s="98">
        <v>5497274.0999999978</v>
      </c>
      <c r="J29" s="95" t="s">
        <v>608</v>
      </c>
    </row>
    <row r="30" spans="1:10" x14ac:dyDescent="0.25">
      <c r="A30" s="30">
        <v>1908</v>
      </c>
      <c r="B30" s="28" t="s">
        <v>100</v>
      </c>
      <c r="C30" s="98">
        <v>21798522.879999999</v>
      </c>
      <c r="D30" s="98"/>
      <c r="E30" s="98">
        <v>22939571.280000001</v>
      </c>
      <c r="F30" s="98">
        <v>-1141048.4000000022</v>
      </c>
      <c r="G30" s="98">
        <v>35397119.82</v>
      </c>
      <c r="H30" s="98">
        <v>35470103.640000001</v>
      </c>
      <c r="I30" s="98">
        <v>-72983.820000000298</v>
      </c>
      <c r="J30" s="95" t="s">
        <v>608</v>
      </c>
    </row>
    <row r="31" spans="1:10" x14ac:dyDescent="0.25">
      <c r="A31" s="30">
        <v>1909</v>
      </c>
      <c r="B31" s="28" t="s">
        <v>100</v>
      </c>
      <c r="C31" s="98">
        <v>22739467.120000001</v>
      </c>
      <c r="D31" s="98"/>
      <c r="E31" s="98">
        <v>23467201.719999999</v>
      </c>
      <c r="F31" s="98">
        <v>-727734.59999999776</v>
      </c>
      <c r="G31" s="98">
        <v>38727899.020000003</v>
      </c>
      <c r="H31" s="98">
        <v>38717024.960000001</v>
      </c>
      <c r="I31" s="98">
        <v>10874.060000002384</v>
      </c>
      <c r="J31" s="95" t="s">
        <v>608</v>
      </c>
    </row>
    <row r="32" spans="1:10" x14ac:dyDescent="0.25">
      <c r="A32" s="23">
        <v>1910</v>
      </c>
      <c r="B32" s="31" t="s">
        <v>100</v>
      </c>
      <c r="C32" s="60">
        <v>27243504.5</v>
      </c>
      <c r="D32" s="60"/>
      <c r="E32" s="60">
        <v>25592368.030000001</v>
      </c>
      <c r="F32" s="57">
        <v>1651136.4699999988</v>
      </c>
      <c r="G32" s="57"/>
      <c r="H32" s="57"/>
      <c r="I32" s="57"/>
      <c r="J32" s="56" t="s">
        <v>609</v>
      </c>
    </row>
    <row r="33" spans="1:10" x14ac:dyDescent="0.25">
      <c r="A33" s="23">
        <v>1911</v>
      </c>
      <c r="B33" s="31" t="s">
        <v>100</v>
      </c>
      <c r="C33" s="60">
        <v>31677266.120000001</v>
      </c>
      <c r="D33" s="60"/>
      <c r="E33" s="60">
        <v>28505271.41</v>
      </c>
      <c r="F33" s="57">
        <v>3171994.7100000009</v>
      </c>
      <c r="G33" s="57"/>
      <c r="H33" s="57"/>
      <c r="I33" s="57"/>
      <c r="J33" s="56" t="s">
        <v>609</v>
      </c>
    </row>
    <row r="34" spans="1:10" x14ac:dyDescent="0.25">
      <c r="A34" s="23">
        <v>1912</v>
      </c>
      <c r="B34" s="31" t="s">
        <v>100</v>
      </c>
      <c r="C34" s="60">
        <v>31247673.93</v>
      </c>
      <c r="D34" s="60"/>
      <c r="E34" s="60">
        <v>31461746.809999999</v>
      </c>
      <c r="F34" s="57">
        <v>-214072.87999999896</v>
      </c>
      <c r="G34" s="57"/>
      <c r="H34" s="57"/>
      <c r="I34" s="57"/>
      <c r="J34" s="56" t="s">
        <v>609</v>
      </c>
    </row>
    <row r="35" spans="1:10" x14ac:dyDescent="0.25">
      <c r="A35" s="23">
        <v>1913</v>
      </c>
      <c r="B35" s="31" t="s">
        <v>100</v>
      </c>
      <c r="C35" s="60">
        <v>26979400.640000001</v>
      </c>
      <c r="D35" s="60"/>
      <c r="E35" s="60">
        <v>29553342.34</v>
      </c>
      <c r="F35" s="57">
        <v>-2573941.6999999993</v>
      </c>
      <c r="G35" s="57"/>
      <c r="H35" s="57"/>
      <c r="I35" s="57"/>
      <c r="J35" s="56" t="s">
        <v>609</v>
      </c>
    </row>
    <row r="36" spans="1:10" x14ac:dyDescent="0.25">
      <c r="A36" s="23">
        <v>1914</v>
      </c>
      <c r="B36" s="31" t="s">
        <v>100</v>
      </c>
      <c r="C36" s="60">
        <v>23706500.859999999</v>
      </c>
      <c r="D36" s="60"/>
      <c r="E36" s="60">
        <v>15316472.49</v>
      </c>
      <c r="F36" s="57">
        <v>8390028.3699999992</v>
      </c>
      <c r="G36" s="57"/>
      <c r="H36" s="57"/>
      <c r="I36" s="57"/>
      <c r="J36" s="56" t="s">
        <v>609</v>
      </c>
    </row>
    <row r="37" spans="1:10" x14ac:dyDescent="0.25">
      <c r="A37" s="23">
        <v>1915</v>
      </c>
      <c r="B37" s="31" t="s">
        <v>100</v>
      </c>
      <c r="C37" s="61">
        <v>29558626.449999999</v>
      </c>
      <c r="D37" s="61"/>
      <c r="E37" s="61">
        <v>38097200.590000004</v>
      </c>
      <c r="F37" s="25">
        <v>1351020.1099999994</v>
      </c>
      <c r="G37" s="25"/>
      <c r="H37" s="25"/>
      <c r="I37" s="25"/>
      <c r="J37" s="56" t="s">
        <v>609</v>
      </c>
    </row>
    <row r="38" spans="1:10" x14ac:dyDescent="0.25">
      <c r="A38" s="23">
        <v>1916</v>
      </c>
      <c r="B38" s="31" t="s">
        <v>100</v>
      </c>
      <c r="C38" s="61">
        <v>45704855.689999998</v>
      </c>
      <c r="D38" s="61"/>
      <c r="E38" s="61">
        <v>40906813.129999995</v>
      </c>
      <c r="F38" s="25">
        <v>4798042.5600000024</v>
      </c>
      <c r="G38" s="25"/>
      <c r="H38" s="25"/>
      <c r="I38" s="25"/>
      <c r="J38" s="20" t="s">
        <v>607</v>
      </c>
    </row>
    <row r="39" spans="1:10" x14ac:dyDescent="0.25">
      <c r="A39" s="23">
        <v>1917</v>
      </c>
      <c r="B39" s="31" t="s">
        <v>100</v>
      </c>
      <c r="C39" s="61">
        <v>54781241.439999998</v>
      </c>
      <c r="D39" s="61"/>
      <c r="E39" s="61">
        <v>45408717.74000001</v>
      </c>
      <c r="F39" s="25">
        <v>9372523.6999999881</v>
      </c>
      <c r="G39" s="25"/>
      <c r="H39" s="25"/>
      <c r="I39" s="25"/>
      <c r="J39" s="20" t="s">
        <v>607</v>
      </c>
    </row>
    <row r="40" spans="1:10" x14ac:dyDescent="0.25">
      <c r="A40" s="23">
        <v>1918</v>
      </c>
      <c r="B40" s="31" t="s">
        <v>100</v>
      </c>
      <c r="C40" s="61">
        <v>68890102</v>
      </c>
      <c r="D40" s="61"/>
      <c r="E40" s="61">
        <v>57496044</v>
      </c>
      <c r="F40" s="25">
        <v>11394058</v>
      </c>
      <c r="G40" s="25"/>
      <c r="H40" s="25"/>
      <c r="I40" s="25"/>
      <c r="J40" s="20" t="s">
        <v>607</v>
      </c>
    </row>
    <row r="41" spans="1:10" x14ac:dyDescent="0.25">
      <c r="A41" s="23">
        <v>1919</v>
      </c>
      <c r="B41" s="31" t="s">
        <v>100</v>
      </c>
      <c r="C41" s="61">
        <v>79686924</v>
      </c>
      <c r="D41" s="61"/>
      <c r="E41" s="61">
        <v>86742590</v>
      </c>
      <c r="F41" s="25">
        <v>-7055666</v>
      </c>
      <c r="G41" s="25"/>
      <c r="H41" s="25"/>
      <c r="I41" s="25"/>
      <c r="J41" s="20" t="s">
        <v>607</v>
      </c>
    </row>
    <row r="42" spans="1:10" x14ac:dyDescent="0.25">
      <c r="A42" s="23">
        <v>1920</v>
      </c>
      <c r="B42" s="31" t="s">
        <v>100</v>
      </c>
      <c r="C42" s="61">
        <v>90905779.719999999</v>
      </c>
      <c r="D42" s="61"/>
      <c r="E42" s="61">
        <v>75511145.730000004</v>
      </c>
      <c r="F42" s="25">
        <v>15394633.989999995</v>
      </c>
      <c r="G42" s="25"/>
      <c r="H42" s="25"/>
      <c r="I42" s="25"/>
      <c r="J42" s="20" t="s">
        <v>605</v>
      </c>
    </row>
    <row r="43" spans="1:10" x14ac:dyDescent="0.25">
      <c r="A43" s="23">
        <v>1921</v>
      </c>
      <c r="B43" s="31" t="s">
        <v>100</v>
      </c>
      <c r="C43" s="61">
        <v>130119714.27</v>
      </c>
      <c r="D43" s="61"/>
      <c r="E43" s="61">
        <v>118194219.62</v>
      </c>
      <c r="F43" s="25">
        <v>11925494.649999991</v>
      </c>
      <c r="G43" s="25"/>
      <c r="H43" s="25"/>
      <c r="I43" s="25"/>
      <c r="J43" s="20" t="s">
        <v>605</v>
      </c>
    </row>
    <row r="44" spans="1:10" x14ac:dyDescent="0.25">
      <c r="A44" s="23">
        <v>1922</v>
      </c>
      <c r="B44" s="31" t="s">
        <v>100</v>
      </c>
      <c r="C44" s="61">
        <v>130649853.33</v>
      </c>
      <c r="D44" s="61"/>
      <c r="E44" s="61">
        <v>78911423.780000001</v>
      </c>
      <c r="F44" s="25">
        <v>51738429.549999997</v>
      </c>
      <c r="G44" s="25"/>
      <c r="H44" s="25"/>
      <c r="I44" s="25"/>
      <c r="J44" s="20" t="s">
        <v>605</v>
      </c>
    </row>
    <row r="45" spans="1:10" x14ac:dyDescent="0.25">
      <c r="A45" s="23">
        <v>1923</v>
      </c>
      <c r="B45" s="31" t="s">
        <v>100</v>
      </c>
      <c r="C45" s="61">
        <v>71074722.420000002</v>
      </c>
      <c r="D45" s="61"/>
      <c r="E45" s="61">
        <v>95555800.150000006</v>
      </c>
      <c r="F45" s="25">
        <v>-24481077.730000004</v>
      </c>
      <c r="G45" s="25"/>
      <c r="H45" s="25"/>
      <c r="I45" s="25"/>
      <c r="J45" s="20" t="s">
        <v>605</v>
      </c>
    </row>
    <row r="46" spans="1:10" x14ac:dyDescent="0.25">
      <c r="A46" s="23">
        <v>1924</v>
      </c>
      <c r="B46" s="31" t="s">
        <v>100</v>
      </c>
      <c r="C46" s="61">
        <v>80110775.260000005</v>
      </c>
      <c r="D46" s="61"/>
      <c r="E46" s="61">
        <v>90890878.489999995</v>
      </c>
      <c r="F46" s="25">
        <v>-10780103.229999989</v>
      </c>
      <c r="G46" s="25"/>
      <c r="H46" s="25"/>
      <c r="I46" s="25"/>
      <c r="J46" s="20" t="s">
        <v>605</v>
      </c>
    </row>
    <row r="47" spans="1:10" x14ac:dyDescent="0.25">
      <c r="A47" s="23">
        <v>1925</v>
      </c>
      <c r="B47" s="31" t="s">
        <v>100</v>
      </c>
      <c r="C47" s="61">
        <v>88506845.090000004</v>
      </c>
      <c r="D47" s="61"/>
      <c r="E47" s="61">
        <v>82770967.170000002</v>
      </c>
      <c r="F47" s="25">
        <v>5735877.9200000018</v>
      </c>
      <c r="G47" s="25"/>
      <c r="H47" s="25"/>
      <c r="I47" s="25"/>
      <c r="J47" s="20" t="s">
        <v>605</v>
      </c>
    </row>
    <row r="48" spans="1:10" x14ac:dyDescent="0.25">
      <c r="A48" s="23">
        <v>1926</v>
      </c>
      <c r="B48" s="31" t="s">
        <v>100</v>
      </c>
      <c r="C48" s="61">
        <v>83801853.650000006</v>
      </c>
      <c r="D48" s="61"/>
      <c r="E48" s="61">
        <v>97633641.790000007</v>
      </c>
      <c r="F48" s="25">
        <v>-13831788.140000001</v>
      </c>
      <c r="G48" s="25"/>
      <c r="H48" s="25"/>
      <c r="I48" s="25"/>
      <c r="J48" s="20" t="s">
        <v>605</v>
      </c>
    </row>
    <row r="49" spans="1:15" x14ac:dyDescent="0.25">
      <c r="A49" s="23">
        <v>1927</v>
      </c>
      <c r="B49" s="31" t="s">
        <v>100</v>
      </c>
      <c r="C49" s="61">
        <v>83503188.159999996</v>
      </c>
      <c r="D49" s="61"/>
      <c r="E49" s="61">
        <v>84190297.859999999</v>
      </c>
      <c r="F49" s="25">
        <v>-687109.70000000298</v>
      </c>
      <c r="G49" s="25"/>
      <c r="H49" s="25"/>
      <c r="I49" s="25"/>
      <c r="J49" s="20" t="s">
        <v>605</v>
      </c>
    </row>
    <row r="50" spans="1:15" x14ac:dyDescent="0.25">
      <c r="A50" s="23">
        <v>1928</v>
      </c>
      <c r="B50" s="31" t="s">
        <v>100</v>
      </c>
      <c r="C50" s="61">
        <v>95850550.950000003</v>
      </c>
      <c r="D50" s="61"/>
      <c r="E50" s="61">
        <v>90311320.230000004</v>
      </c>
      <c r="F50" s="25">
        <v>5539230.7199999988</v>
      </c>
      <c r="G50" s="25"/>
      <c r="H50" s="25"/>
      <c r="I50" s="25"/>
      <c r="J50" s="20" t="s">
        <v>605</v>
      </c>
    </row>
    <row r="51" spans="1:15" x14ac:dyDescent="0.25">
      <c r="A51" s="23">
        <v>1929</v>
      </c>
      <c r="B51" s="31" t="s">
        <v>100</v>
      </c>
      <c r="C51" s="61">
        <v>94141173.700000003</v>
      </c>
      <c r="D51" s="61"/>
      <c r="E51" s="61">
        <v>83652522.900000006</v>
      </c>
      <c r="F51" s="25">
        <v>10488650.799999997</v>
      </c>
      <c r="G51" s="25"/>
      <c r="H51" s="25"/>
      <c r="I51" s="25"/>
      <c r="J51" s="20" t="s">
        <v>605</v>
      </c>
    </row>
    <row r="52" spans="1:15" x14ac:dyDescent="0.25">
      <c r="A52" s="23">
        <v>1930</v>
      </c>
      <c r="B52" s="31" t="s">
        <v>100</v>
      </c>
      <c r="C52" s="61">
        <v>94984429.930000007</v>
      </c>
      <c r="D52" s="61"/>
      <c r="E52" s="61">
        <v>101151560.89</v>
      </c>
      <c r="F52" s="25">
        <v>-6167130.9599999934</v>
      </c>
      <c r="G52" s="25"/>
      <c r="H52" s="25"/>
      <c r="I52" s="25"/>
      <c r="J52" s="20" t="s">
        <v>605</v>
      </c>
    </row>
    <row r="53" spans="1:15" x14ac:dyDescent="0.25">
      <c r="A53" s="23">
        <v>1931</v>
      </c>
      <c r="B53" s="31" t="s">
        <v>100</v>
      </c>
      <c r="C53" s="61">
        <v>82676635.769999996</v>
      </c>
      <c r="D53" s="61"/>
      <c r="E53" s="61">
        <v>91535277.810000002</v>
      </c>
      <c r="F53" s="25">
        <v>-8858642.0400000066</v>
      </c>
      <c r="G53" s="25"/>
      <c r="H53" s="25"/>
      <c r="I53" s="25"/>
      <c r="J53" s="20" t="s">
        <v>605</v>
      </c>
    </row>
    <row r="54" spans="1:15" x14ac:dyDescent="0.25">
      <c r="A54" s="23">
        <v>1932</v>
      </c>
      <c r="B54" s="31" t="s">
        <v>100</v>
      </c>
      <c r="C54" s="61">
        <v>74716772.260000005</v>
      </c>
      <c r="D54" s="61"/>
      <c r="E54" s="61">
        <v>79696887.230000004</v>
      </c>
      <c r="F54" s="25">
        <v>-4980114.9699999988</v>
      </c>
      <c r="G54" s="25"/>
      <c r="H54" s="25"/>
      <c r="I54" s="25"/>
      <c r="J54" s="20" t="s">
        <v>605</v>
      </c>
    </row>
    <row r="55" spans="1:15" x14ac:dyDescent="0.25">
      <c r="A55" s="23">
        <v>1933</v>
      </c>
      <c r="B55" s="31" t="s">
        <v>100</v>
      </c>
      <c r="C55" s="61">
        <v>68544885.409999996</v>
      </c>
      <c r="D55" s="61"/>
      <c r="E55" s="61">
        <v>69535029.859999999</v>
      </c>
      <c r="F55" s="25">
        <v>-990144.45000000298</v>
      </c>
      <c r="G55" s="25"/>
      <c r="H55" s="25"/>
      <c r="I55" s="25"/>
      <c r="J55" s="20" t="s">
        <v>605</v>
      </c>
    </row>
    <row r="56" spans="1:15" x14ac:dyDescent="0.25">
      <c r="A56" s="23">
        <v>1934</v>
      </c>
      <c r="B56" s="31" t="s">
        <v>100</v>
      </c>
      <c r="C56" s="61">
        <v>78674751.329999998</v>
      </c>
      <c r="D56" s="61"/>
      <c r="E56" s="61">
        <v>70719589.099999994</v>
      </c>
      <c r="F56" s="25">
        <v>7955162.2300000042</v>
      </c>
      <c r="G56" s="25"/>
      <c r="H56" s="25"/>
      <c r="I56" s="25"/>
      <c r="J56" s="20" t="s">
        <v>605</v>
      </c>
    </row>
    <row r="57" spans="1:15" x14ac:dyDescent="0.25">
      <c r="A57" s="23">
        <v>1935</v>
      </c>
      <c r="B57" s="31" t="s">
        <v>100</v>
      </c>
      <c r="C57" s="61">
        <v>82839281.319999993</v>
      </c>
      <c r="D57" s="61"/>
      <c r="E57" s="61">
        <v>75933192.530000001</v>
      </c>
      <c r="F57" s="25">
        <v>6906088.7899999917</v>
      </c>
      <c r="G57" s="25"/>
      <c r="H57" s="25"/>
      <c r="I57" s="25"/>
      <c r="J57" s="20" t="s">
        <v>605</v>
      </c>
    </row>
    <row r="58" spans="1:15" x14ac:dyDescent="0.25">
      <c r="A58" s="23">
        <v>1936</v>
      </c>
      <c r="B58" s="31" t="s">
        <v>100</v>
      </c>
      <c r="C58" s="61">
        <v>103502237.61</v>
      </c>
      <c r="D58" s="61"/>
      <c r="E58" s="61">
        <v>92366192.689999998</v>
      </c>
      <c r="F58" s="25">
        <v>11136044.920000002</v>
      </c>
      <c r="G58" s="25"/>
      <c r="H58" s="25"/>
      <c r="I58" s="25"/>
      <c r="J58" s="20" t="s">
        <v>605</v>
      </c>
    </row>
    <row r="59" spans="1:15" x14ac:dyDescent="0.25">
      <c r="A59" s="23">
        <v>1937</v>
      </c>
      <c r="B59" s="31" t="s">
        <v>100</v>
      </c>
      <c r="C59" s="60">
        <v>228153582.00999999</v>
      </c>
      <c r="D59" s="60"/>
      <c r="E59" s="61">
        <v>113889971.42</v>
      </c>
      <c r="F59" s="25">
        <v>114263610.58999999</v>
      </c>
      <c r="G59" s="25"/>
      <c r="H59" s="25"/>
      <c r="I59" s="25"/>
      <c r="J59" s="20" t="s">
        <v>605</v>
      </c>
    </row>
    <row r="60" spans="1:15" x14ac:dyDescent="0.25">
      <c r="A60" s="23">
        <v>1938</v>
      </c>
      <c r="B60" s="31" t="s">
        <v>100</v>
      </c>
      <c r="C60" s="61">
        <v>131414287.84</v>
      </c>
      <c r="D60" s="61"/>
      <c r="E60" s="61">
        <v>139343695.93000001</v>
      </c>
      <c r="F60" s="25">
        <v>-7929408.0900000036</v>
      </c>
      <c r="G60" s="25"/>
      <c r="H60" s="25"/>
      <c r="I60" s="25"/>
      <c r="J60" s="20" t="s">
        <v>605</v>
      </c>
    </row>
    <row r="61" spans="1:15" x14ac:dyDescent="0.25">
      <c r="A61" s="23">
        <v>1939</v>
      </c>
      <c r="B61" s="31" t="s">
        <v>100</v>
      </c>
      <c r="C61" s="61">
        <v>87808478.780000001</v>
      </c>
      <c r="D61" s="61"/>
      <c r="E61" s="61">
        <v>84795162.640000001</v>
      </c>
      <c r="F61" s="25">
        <v>3013316.1400000006</v>
      </c>
      <c r="G61" s="25"/>
      <c r="H61" s="25"/>
      <c r="I61" s="25"/>
      <c r="J61" s="20" t="s">
        <v>605</v>
      </c>
      <c r="K61" s="40" t="s">
        <v>262</v>
      </c>
    </row>
    <row r="62" spans="1:15" x14ac:dyDescent="0.25">
      <c r="A62" s="23">
        <v>1940</v>
      </c>
      <c r="B62" s="31" t="s">
        <v>100</v>
      </c>
      <c r="C62" s="61">
        <v>158029869.66</v>
      </c>
      <c r="D62" s="61"/>
      <c r="E62" s="61">
        <v>183616273.36000001</v>
      </c>
      <c r="F62" s="25">
        <v>-25586403.700000018</v>
      </c>
      <c r="G62" s="25"/>
      <c r="H62" s="25"/>
      <c r="I62" s="25"/>
      <c r="J62" s="20" t="s">
        <v>605</v>
      </c>
    </row>
    <row r="63" spans="1:15" x14ac:dyDescent="0.25">
      <c r="A63" s="59">
        <v>1941</v>
      </c>
      <c r="B63" s="31" t="s">
        <v>100</v>
      </c>
      <c r="C63" s="25">
        <v>158667903</v>
      </c>
      <c r="D63" s="25"/>
      <c r="E63" s="25">
        <v>167767838</v>
      </c>
      <c r="F63" s="34">
        <v>-9099935</v>
      </c>
      <c r="G63" s="25"/>
      <c r="H63" s="25"/>
      <c r="I63" s="25"/>
      <c r="J63" s="219" t="s">
        <v>612</v>
      </c>
      <c r="K63" s="61"/>
      <c r="L63" s="25"/>
      <c r="M63" s="25"/>
      <c r="N63" s="25"/>
      <c r="O63" s="25"/>
    </row>
    <row r="64" spans="1:15" x14ac:dyDescent="0.25">
      <c r="A64" s="59">
        <v>1942</v>
      </c>
      <c r="B64" s="31" t="s">
        <v>100</v>
      </c>
      <c r="C64" s="25">
        <v>102982082</v>
      </c>
      <c r="D64" s="25"/>
      <c r="E64" s="25">
        <v>111675480</v>
      </c>
      <c r="F64" s="34">
        <v>-8693398</v>
      </c>
      <c r="G64" s="25"/>
      <c r="H64" s="25"/>
      <c r="I64" s="25"/>
      <c r="J64" s="219" t="s">
        <v>612</v>
      </c>
      <c r="K64" s="61" t="s">
        <v>611</v>
      </c>
      <c r="L64" s="25"/>
      <c r="M64" s="25"/>
      <c r="N64" s="25"/>
      <c r="O64" s="25"/>
    </row>
    <row r="65" spans="1:15" x14ac:dyDescent="0.25">
      <c r="A65" s="59">
        <v>1943</v>
      </c>
      <c r="B65" s="31" t="s">
        <v>100</v>
      </c>
      <c r="C65" s="25"/>
      <c r="D65" s="25"/>
      <c r="E65" s="25"/>
      <c r="F65" s="25"/>
      <c r="G65" s="25"/>
      <c r="H65" s="25"/>
      <c r="I65" s="25"/>
      <c r="J65" s="25"/>
      <c r="K65" s="61"/>
      <c r="L65" s="25"/>
      <c r="M65" s="25"/>
      <c r="N65" s="25"/>
      <c r="O65" s="25"/>
    </row>
    <row r="66" spans="1:15" x14ac:dyDescent="0.25">
      <c r="A66" s="59">
        <v>1944</v>
      </c>
      <c r="B66" s="31" t="s">
        <v>100</v>
      </c>
      <c r="C66" s="25"/>
      <c r="D66" s="25"/>
      <c r="E66" s="25"/>
      <c r="F66" s="25"/>
      <c r="G66" s="25"/>
      <c r="H66" s="25"/>
      <c r="I66" s="25"/>
      <c r="J66" s="25"/>
      <c r="K66" s="61"/>
      <c r="L66" s="25"/>
      <c r="M66" s="25"/>
      <c r="N66" s="25"/>
      <c r="O66" s="25"/>
    </row>
    <row r="67" spans="1:15" x14ac:dyDescent="0.25">
      <c r="A67" s="59">
        <v>1945</v>
      </c>
      <c r="B67" s="31" t="s">
        <v>100</v>
      </c>
      <c r="C67" s="25"/>
      <c r="D67" s="25"/>
      <c r="E67" s="25"/>
      <c r="F67" s="25"/>
      <c r="G67" s="25"/>
      <c r="H67" s="25"/>
      <c r="I67" s="25"/>
      <c r="J67" s="25"/>
      <c r="K67" s="61"/>
      <c r="L67" s="25"/>
      <c r="M67" s="25"/>
      <c r="N67" s="25"/>
      <c r="O67" s="25"/>
    </row>
    <row r="68" spans="1:15" x14ac:dyDescent="0.25">
      <c r="A68" s="23">
        <v>1946</v>
      </c>
      <c r="B68" s="31" t="s">
        <v>100</v>
      </c>
      <c r="C68" s="25">
        <v>71800000</v>
      </c>
      <c r="D68" s="25">
        <v>58100000</v>
      </c>
      <c r="E68" s="25">
        <v>215900000</v>
      </c>
      <c r="F68" s="25">
        <v>-144100000</v>
      </c>
      <c r="G68" s="25"/>
      <c r="H68" s="25"/>
      <c r="I68" s="25"/>
      <c r="J68" s="25" t="s">
        <v>606</v>
      </c>
      <c r="K68" s="61"/>
      <c r="L68" s="25"/>
      <c r="M68" s="25"/>
      <c r="N68" s="25"/>
      <c r="O68" s="25"/>
    </row>
    <row r="69" spans="1:15" x14ac:dyDescent="0.25">
      <c r="A69" s="23">
        <v>1947</v>
      </c>
      <c r="B69" s="31" t="s">
        <v>100</v>
      </c>
      <c r="C69" s="25">
        <v>266100000</v>
      </c>
      <c r="D69" s="25">
        <v>12600000</v>
      </c>
      <c r="E69" s="25">
        <v>395900000</v>
      </c>
      <c r="F69" s="25">
        <v>-129800000</v>
      </c>
      <c r="G69" s="25"/>
      <c r="H69" s="25"/>
      <c r="I69" s="25"/>
      <c r="J69" s="25" t="s">
        <v>606</v>
      </c>
      <c r="K69" s="61"/>
      <c r="L69" s="25"/>
      <c r="M69" s="25"/>
      <c r="N69" s="25"/>
      <c r="O69" s="25"/>
    </row>
    <row r="70" spans="1:15" x14ac:dyDescent="0.25">
      <c r="A70" s="23">
        <v>1948</v>
      </c>
      <c r="B70" s="31" t="s">
        <v>100</v>
      </c>
      <c r="C70" s="25">
        <v>395700000</v>
      </c>
      <c r="D70" s="25">
        <v>0</v>
      </c>
      <c r="E70" s="25">
        <v>392500000</v>
      </c>
      <c r="F70" s="25">
        <v>3200000</v>
      </c>
      <c r="G70" s="25"/>
      <c r="H70" s="25"/>
      <c r="I70" s="25"/>
      <c r="J70" s="25" t="s">
        <v>606</v>
      </c>
      <c r="K70" s="61"/>
      <c r="L70" s="25"/>
      <c r="M70" s="25"/>
      <c r="N70" s="25"/>
      <c r="O70" s="25"/>
    </row>
    <row r="71" spans="1:15" x14ac:dyDescent="0.25">
      <c r="C71" s="25"/>
      <c r="D71" s="25"/>
      <c r="E71" s="25"/>
      <c r="F71" s="25"/>
      <c r="G71" s="25"/>
      <c r="H71" s="25"/>
      <c r="I71" s="25"/>
      <c r="J71" s="25"/>
      <c r="K71" s="61"/>
      <c r="L71" s="25"/>
      <c r="M71" s="25"/>
      <c r="N71" s="25"/>
      <c r="O71" s="25"/>
    </row>
    <row r="72" spans="1:15" x14ac:dyDescent="0.25">
      <c r="A72" s="23" t="s">
        <v>264</v>
      </c>
    </row>
    <row r="73" spans="1:15" x14ac:dyDescent="0.25">
      <c r="A73" s="31" t="s">
        <v>263</v>
      </c>
      <c r="B73" s="24" t="s">
        <v>100</v>
      </c>
      <c r="C73" s="6">
        <v>11567878.279999999</v>
      </c>
      <c r="E73" s="6">
        <v>15790776.119999999</v>
      </c>
      <c r="F73" s="25">
        <f t="shared" ref="F73" si="0">C73-E73</f>
        <v>-4222897.84</v>
      </c>
      <c r="G73" s="25"/>
      <c r="H73" s="25"/>
      <c r="I73" s="25"/>
      <c r="J73" s="56" t="s">
        <v>198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Normal="100" workbookViewId="0"/>
  </sheetViews>
  <sheetFormatPr defaultRowHeight="15" x14ac:dyDescent="0.25"/>
  <cols>
    <col min="2" max="2" width="14.42578125" customWidth="1"/>
  </cols>
  <sheetData>
    <row r="1" spans="1:3" s="179" customFormat="1" ht="18.75" x14ac:dyDescent="0.3">
      <c r="A1" s="44" t="s">
        <v>735</v>
      </c>
    </row>
    <row r="2" spans="1:3" s="179" customFormat="1" x14ac:dyDescent="0.25"/>
    <row r="3" spans="1:3" x14ac:dyDescent="0.25">
      <c r="A3" t="s">
        <v>32</v>
      </c>
      <c r="B3" t="s">
        <v>737</v>
      </c>
    </row>
    <row r="4" spans="1:3" x14ac:dyDescent="0.25">
      <c r="A4">
        <v>1904</v>
      </c>
      <c r="B4" s="180">
        <f>('Budget Balance'!F26)/1000000</f>
        <v>-2.0006388399999997</v>
      </c>
      <c r="C4" s="180"/>
    </row>
    <row r="5" spans="1:3" x14ac:dyDescent="0.25">
      <c r="A5">
        <v>1905</v>
      </c>
      <c r="B5" s="180">
        <f>('Budget Balance'!F27)/1000000</f>
        <v>-1.3987239200000019</v>
      </c>
    </row>
    <row r="6" spans="1:3" x14ac:dyDescent="0.25">
      <c r="A6" s="179">
        <v>1906</v>
      </c>
      <c r="B6" s="180">
        <f>('Budget Balance'!F28)/1000000</f>
        <v>2.6425760800000018</v>
      </c>
    </row>
    <row r="7" spans="1:3" x14ac:dyDescent="0.25">
      <c r="A7" s="179">
        <v>1907</v>
      </c>
      <c r="B7" s="180">
        <f>('Budget Balance'!F29)/1000000</f>
        <v>5.4832128200000003</v>
      </c>
    </row>
    <row r="8" spans="1:3" x14ac:dyDescent="0.25">
      <c r="A8" s="179">
        <v>1908</v>
      </c>
      <c r="B8" s="180">
        <f>('Budget Balance'!F30)/1000000</f>
        <v>-1.1410484000000023</v>
      </c>
    </row>
    <row r="9" spans="1:3" x14ac:dyDescent="0.25">
      <c r="A9" s="179">
        <v>1909</v>
      </c>
      <c r="B9" s="180">
        <f>('Budget Balance'!F31)/1000000</f>
        <v>-0.72773459999999779</v>
      </c>
    </row>
    <row r="10" spans="1:3" x14ac:dyDescent="0.25">
      <c r="A10" s="179">
        <v>1910</v>
      </c>
      <c r="B10" s="180">
        <f>('Budget Balance'!F32)/1000000</f>
        <v>1.6511364699999989</v>
      </c>
    </row>
    <row r="11" spans="1:3" x14ac:dyDescent="0.25">
      <c r="A11" s="179">
        <v>1911</v>
      </c>
      <c r="B11" s="180">
        <f>('Budget Balance'!F33)/1000000</f>
        <v>3.1719947100000008</v>
      </c>
    </row>
    <row r="12" spans="1:3" x14ac:dyDescent="0.25">
      <c r="A12" s="179">
        <v>1912</v>
      </c>
      <c r="B12" s="180">
        <f>('Budget Balance'!F34)/1000000</f>
        <v>-0.21407287999999897</v>
      </c>
    </row>
    <row r="13" spans="1:3" x14ac:dyDescent="0.25">
      <c r="A13" s="179">
        <v>1913</v>
      </c>
      <c r="B13" s="180">
        <f>('Budget Balance'!F35)/1000000</f>
        <v>-2.5739416999999993</v>
      </c>
    </row>
    <row r="14" spans="1:3" x14ac:dyDescent="0.25">
      <c r="A14" s="179">
        <v>1914</v>
      </c>
      <c r="B14" s="180">
        <f>('Budget Balance'!F36)/1000000</f>
        <v>8.3900283699999996</v>
      </c>
    </row>
    <row r="15" spans="1:3" x14ac:dyDescent="0.25">
      <c r="A15" s="179">
        <v>1915</v>
      </c>
      <c r="B15" s="180">
        <f>('Budget Balance'!F37)/1000000</f>
        <v>1.3510201099999994</v>
      </c>
    </row>
    <row r="16" spans="1:3" x14ac:dyDescent="0.25">
      <c r="A16" s="179">
        <v>1916</v>
      </c>
      <c r="B16" s="180">
        <f>('Budget Balance'!F38)/1000000</f>
        <v>4.7980425600000025</v>
      </c>
    </row>
    <row r="17" spans="1:2" x14ac:dyDescent="0.25">
      <c r="A17" s="179">
        <v>1917</v>
      </c>
      <c r="B17" s="180">
        <f>('Budget Balance'!F39)/1000000</f>
        <v>9.3725236999999879</v>
      </c>
    </row>
    <row r="18" spans="1:2" x14ac:dyDescent="0.25">
      <c r="A18" s="179">
        <v>1918</v>
      </c>
      <c r="B18" s="180">
        <f>('Budget Balance'!F40)/1000000</f>
        <v>11.394057999999999</v>
      </c>
    </row>
    <row r="19" spans="1:2" x14ac:dyDescent="0.25">
      <c r="A19" s="179">
        <v>1919</v>
      </c>
      <c r="B19" s="180">
        <f>('Budget Balance'!F41)/1000000</f>
        <v>-7.0556660000000004</v>
      </c>
    </row>
    <row r="20" spans="1:2" x14ac:dyDescent="0.25">
      <c r="A20" s="179">
        <v>1920</v>
      </c>
      <c r="B20" s="180">
        <f>('Budget Balance'!F42)/1000000</f>
        <v>15.394633989999994</v>
      </c>
    </row>
    <row r="21" spans="1:2" x14ac:dyDescent="0.25">
      <c r="A21" s="179">
        <v>1921</v>
      </c>
      <c r="B21" s="180">
        <f>('Budget Balance'!F43)/1000000</f>
        <v>11.92549464999999</v>
      </c>
    </row>
    <row r="22" spans="1:2" x14ac:dyDescent="0.25">
      <c r="A22" s="179">
        <v>1922</v>
      </c>
      <c r="B22" s="180">
        <f>('Budget Balance'!F44)/1000000</f>
        <v>51.738429549999999</v>
      </c>
    </row>
    <row r="23" spans="1:2" x14ac:dyDescent="0.25">
      <c r="A23" s="179">
        <v>1923</v>
      </c>
      <c r="B23" s="180">
        <f>('Budget Balance'!F45)/1000000</f>
        <v>-24.481077730000003</v>
      </c>
    </row>
    <row r="24" spans="1:2" x14ac:dyDescent="0.25">
      <c r="A24" s="179">
        <v>1924</v>
      </c>
      <c r="B24" s="180">
        <f>('Budget Balance'!F46)/1000000</f>
        <v>-10.780103229999989</v>
      </c>
    </row>
    <row r="25" spans="1:2" x14ac:dyDescent="0.25">
      <c r="A25" s="179">
        <v>1925</v>
      </c>
      <c r="B25" s="180">
        <f>('Budget Balance'!F47)/1000000</f>
        <v>5.7358779200000019</v>
      </c>
    </row>
    <row r="26" spans="1:2" x14ac:dyDescent="0.25">
      <c r="A26" s="179">
        <v>1926</v>
      </c>
      <c r="B26" s="180">
        <f>('Budget Balance'!F48)/1000000</f>
        <v>-13.83178814</v>
      </c>
    </row>
    <row r="27" spans="1:2" x14ac:dyDescent="0.25">
      <c r="A27" s="179">
        <v>1927</v>
      </c>
      <c r="B27" s="180">
        <f>('Budget Balance'!F49)/1000000</f>
        <v>-0.68710970000000293</v>
      </c>
    </row>
    <row r="28" spans="1:2" x14ac:dyDescent="0.25">
      <c r="A28" s="179">
        <v>1928</v>
      </c>
      <c r="B28" s="180">
        <f>('Budget Balance'!F50)/1000000</f>
        <v>5.5392307199999991</v>
      </c>
    </row>
    <row r="29" spans="1:2" x14ac:dyDescent="0.25">
      <c r="A29" s="179">
        <v>1929</v>
      </c>
      <c r="B29" s="180">
        <f>('Budget Balance'!F51)/1000000</f>
        <v>10.488650799999997</v>
      </c>
    </row>
    <row r="30" spans="1:2" x14ac:dyDescent="0.25">
      <c r="A30" s="179">
        <v>1930</v>
      </c>
      <c r="B30" s="180">
        <f>('Budget Balance'!F52)/1000000</f>
        <v>-6.1671309599999935</v>
      </c>
    </row>
    <row r="31" spans="1:2" x14ac:dyDescent="0.25">
      <c r="A31" s="179">
        <v>1931</v>
      </c>
      <c r="B31" s="180">
        <f>('Budget Balance'!F53)/1000000</f>
        <v>-8.8586420400000065</v>
      </c>
    </row>
    <row r="32" spans="1:2" x14ac:dyDescent="0.25">
      <c r="A32" s="179">
        <v>1932</v>
      </c>
      <c r="B32" s="180">
        <f>('Budget Balance'!F54)/1000000</f>
        <v>-4.9801149699999989</v>
      </c>
    </row>
    <row r="33" spans="1:2" x14ac:dyDescent="0.25">
      <c r="A33" s="179">
        <v>1933</v>
      </c>
      <c r="B33" s="180">
        <f>('Budget Balance'!F55)/1000000</f>
        <v>-0.99014445000000295</v>
      </c>
    </row>
    <row r="34" spans="1:2" x14ac:dyDescent="0.25">
      <c r="A34" s="179">
        <v>1934</v>
      </c>
      <c r="B34" s="180">
        <f>('Budget Balance'!F56)/1000000</f>
        <v>7.9551622300000044</v>
      </c>
    </row>
    <row r="35" spans="1:2" x14ac:dyDescent="0.25">
      <c r="A35" s="179">
        <v>1935</v>
      </c>
      <c r="B35" s="180">
        <f>('Budget Balance'!F57)/1000000</f>
        <v>6.9060887899999921</v>
      </c>
    </row>
    <row r="36" spans="1:2" x14ac:dyDescent="0.25">
      <c r="A36" s="179">
        <v>1936</v>
      </c>
      <c r="B36" s="180">
        <f>('Budget Balance'!F58)/1000000</f>
        <v>11.136044920000002</v>
      </c>
    </row>
    <row r="37" spans="1:2" x14ac:dyDescent="0.25">
      <c r="A37" s="179">
        <v>1937</v>
      </c>
      <c r="B37" s="180">
        <f>('Budget Balance'!F59)/1000000</f>
        <v>114.26361058999998</v>
      </c>
    </row>
    <row r="38" spans="1:2" x14ac:dyDescent="0.25">
      <c r="A38" s="179">
        <v>1938</v>
      </c>
      <c r="B38" s="180">
        <f>('Budget Balance'!F60)/1000000</f>
        <v>-7.9294080900000035</v>
      </c>
    </row>
    <row r="39" spans="1:2" x14ac:dyDescent="0.25">
      <c r="A39" s="179">
        <v>1939</v>
      </c>
      <c r="B39" s="180">
        <f>('Budget Balance'!F61)/1000000</f>
        <v>3.0133161400000006</v>
      </c>
    </row>
    <row r="40" spans="1:2" x14ac:dyDescent="0.25">
      <c r="A40" s="179">
        <v>1940</v>
      </c>
      <c r="B40" s="180">
        <f>('Budget Balance'!F62)/1000000</f>
        <v>-25.58640370000002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9.85546875" customWidth="1"/>
    <col min="2" max="2" width="20.7109375" customWidth="1"/>
    <col min="3" max="3" width="17.140625" customWidth="1"/>
    <col min="4" max="4" width="40.28515625" customWidth="1"/>
    <col min="5" max="5" width="20.7109375" customWidth="1"/>
  </cols>
  <sheetData>
    <row r="1" spans="1:4" ht="18.75" customHeight="1" x14ac:dyDescent="0.3">
      <c r="A1" s="44" t="s">
        <v>299</v>
      </c>
    </row>
    <row r="2" spans="1:4" x14ac:dyDescent="0.25">
      <c r="A2" s="43"/>
    </row>
    <row r="3" spans="1:4" ht="30" x14ac:dyDescent="0.25">
      <c r="B3" s="105" t="s">
        <v>286</v>
      </c>
      <c r="C3" s="105" t="s">
        <v>490</v>
      </c>
    </row>
    <row r="4" spans="1:4" ht="30" x14ac:dyDescent="0.25">
      <c r="B4" s="105" t="s">
        <v>287</v>
      </c>
      <c r="C4" s="105" t="s">
        <v>289</v>
      </c>
      <c r="D4" s="207" t="s">
        <v>491</v>
      </c>
    </row>
    <row r="5" spans="1:4" ht="45" x14ac:dyDescent="0.25">
      <c r="B5" s="106" t="s">
        <v>288</v>
      </c>
      <c r="C5" s="106"/>
    </row>
    <row r="6" spans="1:4" x14ac:dyDescent="0.25">
      <c r="B6" s="106" t="s">
        <v>290</v>
      </c>
      <c r="C6" s="106" t="s">
        <v>291</v>
      </c>
    </row>
    <row r="7" spans="1:4" x14ac:dyDescent="0.25">
      <c r="A7" s="104">
        <v>1907</v>
      </c>
      <c r="C7" s="1">
        <v>509463.34</v>
      </c>
      <c r="D7" t="s">
        <v>489</v>
      </c>
    </row>
    <row r="8" spans="1:4" x14ac:dyDescent="0.25">
      <c r="A8" s="104">
        <v>1908</v>
      </c>
      <c r="C8" s="1">
        <v>1031994.04</v>
      </c>
      <c r="D8" s="179" t="s">
        <v>489</v>
      </c>
    </row>
    <row r="9" spans="1:4" x14ac:dyDescent="0.25">
      <c r="A9" s="104">
        <v>1909</v>
      </c>
      <c r="C9" s="1">
        <v>1448958.56</v>
      </c>
      <c r="D9" s="179" t="s">
        <v>489</v>
      </c>
    </row>
    <row r="10" spans="1:4" x14ac:dyDescent="0.25">
      <c r="A10" s="104">
        <v>1910</v>
      </c>
      <c r="C10" s="1">
        <v>1679246.35</v>
      </c>
      <c r="D10" s="179" t="s">
        <v>489</v>
      </c>
    </row>
    <row r="11" spans="1:4" x14ac:dyDescent="0.25">
      <c r="A11" s="104">
        <v>1911</v>
      </c>
      <c r="C11" s="1">
        <v>2009474.49</v>
      </c>
      <c r="D11" s="179" t="s">
        <v>489</v>
      </c>
    </row>
    <row r="12" spans="1:4" x14ac:dyDescent="0.25">
      <c r="A12" s="104">
        <v>1912</v>
      </c>
      <c r="C12" s="1">
        <v>2388986.42</v>
      </c>
      <c r="D12" s="179" t="s">
        <v>489</v>
      </c>
    </row>
    <row r="13" spans="1:4" x14ac:dyDescent="0.25">
      <c r="A13" s="104">
        <v>1913</v>
      </c>
      <c r="C13" s="1">
        <v>2822132.77</v>
      </c>
      <c r="D13" s="179" t="s">
        <v>489</v>
      </c>
    </row>
    <row r="14" spans="1:4" x14ac:dyDescent="0.25">
      <c r="A14" s="104">
        <v>1914</v>
      </c>
      <c r="C14" s="1">
        <v>3168015.41</v>
      </c>
      <c r="D14" s="179" t="s">
        <v>489</v>
      </c>
    </row>
    <row r="15" spans="1:4" x14ac:dyDescent="0.25">
      <c r="A15" s="104">
        <v>1915</v>
      </c>
      <c r="C15" s="1">
        <v>3203589.32</v>
      </c>
      <c r="D15" s="179" t="s">
        <v>489</v>
      </c>
    </row>
    <row r="16" spans="1:4" x14ac:dyDescent="0.25">
      <c r="A16" s="104">
        <v>1916</v>
      </c>
      <c r="C16" s="1">
        <v>3712401.5</v>
      </c>
      <c r="D16" s="179" t="s">
        <v>489</v>
      </c>
    </row>
    <row r="17" spans="1:4" x14ac:dyDescent="0.25">
      <c r="A17" s="104">
        <v>1917</v>
      </c>
      <c r="C17" s="1">
        <v>4242179.0999999996</v>
      </c>
      <c r="D17" s="179" t="s">
        <v>489</v>
      </c>
    </row>
    <row r="18" spans="1:4" x14ac:dyDescent="0.25">
      <c r="A18" s="104">
        <v>1918</v>
      </c>
      <c r="C18" s="1">
        <v>4928150</v>
      </c>
      <c r="D18" s="179" t="s">
        <v>489</v>
      </c>
    </row>
    <row r="19" spans="1:4" x14ac:dyDescent="0.25">
      <c r="A19" s="104">
        <v>1919</v>
      </c>
      <c r="C19" s="1">
        <v>6084859</v>
      </c>
      <c r="D19" s="179" t="s">
        <v>489</v>
      </c>
    </row>
    <row r="20" spans="1:4" x14ac:dyDescent="0.25">
      <c r="A20" s="104">
        <v>1920</v>
      </c>
      <c r="C20" s="1">
        <v>6654435</v>
      </c>
      <c r="D20" s="179" t="s">
        <v>489</v>
      </c>
    </row>
    <row r="21" spans="1:4" x14ac:dyDescent="0.25">
      <c r="A21" s="104">
        <v>1921</v>
      </c>
      <c r="C21" s="1">
        <v>6108458</v>
      </c>
      <c r="D21" s="179" t="s">
        <v>489</v>
      </c>
    </row>
    <row r="22" spans="1:4" x14ac:dyDescent="0.25">
      <c r="A22" s="104">
        <v>1922</v>
      </c>
      <c r="C22" s="1">
        <v>5715143</v>
      </c>
      <c r="D22" s="179" t="s">
        <v>489</v>
      </c>
    </row>
    <row r="23" spans="1:4" x14ac:dyDescent="0.25">
      <c r="A23" s="104">
        <v>1923</v>
      </c>
      <c r="C23" s="1">
        <v>5652718</v>
      </c>
      <c r="D23" s="179" t="s">
        <v>489</v>
      </c>
    </row>
    <row r="24" spans="1:4" x14ac:dyDescent="0.25">
      <c r="A24" s="104">
        <v>1924</v>
      </c>
      <c r="C24" s="1">
        <v>5630559</v>
      </c>
      <c r="D24" s="179" t="s">
        <v>489</v>
      </c>
    </row>
    <row r="25" spans="1:4" x14ac:dyDescent="0.25">
      <c r="A25" s="104">
        <v>1925</v>
      </c>
      <c r="C25" s="1">
        <v>5882641</v>
      </c>
      <c r="D25" s="179" t="s">
        <v>489</v>
      </c>
    </row>
    <row r="26" spans="1:4" x14ac:dyDescent="0.25">
      <c r="A26" s="104">
        <v>1926</v>
      </c>
      <c r="C26" s="1">
        <v>5999817</v>
      </c>
      <c r="D26" s="179" t="s">
        <v>489</v>
      </c>
    </row>
    <row r="27" spans="1:4" x14ac:dyDescent="0.25">
      <c r="A27" s="104">
        <v>1927</v>
      </c>
      <c r="C27" s="1">
        <v>6849167</v>
      </c>
      <c r="D27" s="179" t="s">
        <v>489</v>
      </c>
    </row>
    <row r="28" spans="1:4" x14ac:dyDescent="0.25">
      <c r="A28" s="104">
        <v>1928</v>
      </c>
      <c r="C28" s="1">
        <v>8092516</v>
      </c>
      <c r="D28" s="179" t="s">
        <v>489</v>
      </c>
    </row>
    <row r="29" spans="1:4" x14ac:dyDescent="0.25">
      <c r="A29" s="104">
        <v>1929</v>
      </c>
      <c r="C29" s="63">
        <v>8695071.4600000009</v>
      </c>
      <c r="D29" t="s">
        <v>476</v>
      </c>
    </row>
    <row r="30" spans="1:4" x14ac:dyDescent="0.25">
      <c r="A30" s="104">
        <v>1930</v>
      </c>
      <c r="B30" s="1">
        <v>24702564.670000002</v>
      </c>
      <c r="C30" s="63">
        <v>8700636.5299999993</v>
      </c>
      <c r="D30" t="s">
        <v>472</v>
      </c>
    </row>
    <row r="31" spans="1:4" x14ac:dyDescent="0.25">
      <c r="A31" s="104">
        <v>1931</v>
      </c>
      <c r="B31" s="1">
        <v>25310437.350000001</v>
      </c>
      <c r="C31" s="63">
        <v>8529953.8800000008</v>
      </c>
      <c r="D31" t="s">
        <v>475</v>
      </c>
    </row>
    <row r="32" spans="1:4" x14ac:dyDescent="0.25">
      <c r="A32" s="104">
        <v>1932</v>
      </c>
      <c r="B32" s="1">
        <v>25436840.739999998</v>
      </c>
      <c r="C32" s="63">
        <v>8565560.5800000001</v>
      </c>
      <c r="D32" t="s">
        <v>474</v>
      </c>
    </row>
    <row r="33" spans="1:4" x14ac:dyDescent="0.25">
      <c r="A33" s="104">
        <v>1933</v>
      </c>
      <c r="B33" s="1">
        <v>24270025.66</v>
      </c>
      <c r="D33" s="222" t="s">
        <v>633</v>
      </c>
    </row>
    <row r="34" spans="1:4" x14ac:dyDescent="0.25">
      <c r="A34" s="104">
        <v>1934</v>
      </c>
      <c r="B34" s="1">
        <v>21172719.309999999</v>
      </c>
      <c r="D34" s="222" t="s">
        <v>633</v>
      </c>
    </row>
    <row r="35" spans="1:4" x14ac:dyDescent="0.25">
      <c r="A35" s="104">
        <v>1935</v>
      </c>
      <c r="B35" s="1">
        <v>19110576.890000001</v>
      </c>
      <c r="D35" s="222" t="s">
        <v>633</v>
      </c>
    </row>
    <row r="36" spans="1:4" x14ac:dyDescent="0.25">
      <c r="A36" s="104">
        <v>1936</v>
      </c>
      <c r="B36" s="1">
        <v>18211667.989999998</v>
      </c>
      <c r="D36" s="222" t="s">
        <v>633</v>
      </c>
    </row>
    <row r="37" spans="1:4" x14ac:dyDescent="0.25">
      <c r="A37" s="104">
        <v>1937</v>
      </c>
      <c r="B37" s="1">
        <v>18211667.989999998</v>
      </c>
      <c r="C37" s="193">
        <v>15185221.439999999</v>
      </c>
      <c r="D37" s="171" t="s">
        <v>524</v>
      </c>
    </row>
    <row r="38" spans="1:4" x14ac:dyDescent="0.25">
      <c r="A38" s="104">
        <v>1938</v>
      </c>
      <c r="B38" s="1">
        <v>15723679.119999999</v>
      </c>
      <c r="C38" s="193">
        <v>16568817.800000001</v>
      </c>
      <c r="D38" s="171" t="s">
        <v>524</v>
      </c>
    </row>
    <row r="39" spans="1:4" x14ac:dyDescent="0.25">
      <c r="A39" s="104">
        <v>1939</v>
      </c>
      <c r="B39" s="1">
        <v>14050993.029999999</v>
      </c>
      <c r="C39" s="63">
        <v>17597016.359999999</v>
      </c>
      <c r="D39" t="s">
        <v>488</v>
      </c>
    </row>
    <row r="40" spans="1:4" x14ac:dyDescent="0.25">
      <c r="A40" s="104">
        <v>1940</v>
      </c>
      <c r="B40" s="1">
        <v>13044520.109999999</v>
      </c>
      <c r="C40" s="63">
        <v>16300984.68</v>
      </c>
      <c r="D40" t="s">
        <v>488</v>
      </c>
    </row>
    <row r="41" spans="1:4" x14ac:dyDescent="0.25">
      <c r="A41" s="104">
        <v>1941</v>
      </c>
      <c r="C41" s="63">
        <v>14723625.15</v>
      </c>
      <c r="D41" t="s">
        <v>488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7"/>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2.75" customHeight="1" x14ac:dyDescent="0.25"/>
  <cols>
    <col min="1" max="1" width="13" style="144" customWidth="1"/>
    <col min="2" max="2" width="14.85546875" style="143" customWidth="1"/>
    <col min="3" max="3" width="28.28515625" style="144" customWidth="1"/>
    <col min="4" max="4" width="36.5703125" style="144" customWidth="1"/>
    <col min="5" max="5" width="9.140625" style="144"/>
    <col min="6" max="6" width="17.42578125" style="145" customWidth="1"/>
    <col min="7" max="7" width="28.7109375" style="144" customWidth="1"/>
    <col min="8" max="8" width="28.140625" style="144" customWidth="1"/>
    <col min="9" max="16384" width="9.140625" style="144"/>
  </cols>
  <sheetData>
    <row r="1" spans="1:8" ht="18.75" customHeight="1" x14ac:dyDescent="0.3">
      <c r="A1" s="150" t="s">
        <v>300</v>
      </c>
    </row>
    <row r="3" spans="1:8" ht="12.75" customHeight="1" x14ac:dyDescent="0.25">
      <c r="B3" s="146" t="s">
        <v>335</v>
      </c>
      <c r="C3" s="142" t="s">
        <v>335</v>
      </c>
      <c r="D3" s="142" t="s">
        <v>335</v>
      </c>
      <c r="E3" s="174"/>
      <c r="F3" s="146" t="s">
        <v>336</v>
      </c>
      <c r="G3" s="142" t="s">
        <v>336</v>
      </c>
      <c r="H3" s="142" t="s">
        <v>336</v>
      </c>
    </row>
    <row r="4" spans="1:8" s="142" customFormat="1" ht="12.75" customHeight="1" x14ac:dyDescent="0.25">
      <c r="A4" s="142" t="s">
        <v>301</v>
      </c>
      <c r="B4" s="146" t="s">
        <v>333</v>
      </c>
      <c r="C4" s="142" t="s">
        <v>334</v>
      </c>
      <c r="D4" s="142" t="s">
        <v>98</v>
      </c>
      <c r="E4" s="175"/>
      <c r="F4" s="146" t="s">
        <v>333</v>
      </c>
      <c r="G4" s="142" t="s">
        <v>334</v>
      </c>
      <c r="H4" s="142" t="s">
        <v>98</v>
      </c>
    </row>
    <row r="5" spans="1:8" ht="12.75" customHeight="1" x14ac:dyDescent="0.25">
      <c r="E5" s="174"/>
    </row>
    <row r="6" spans="1:8" ht="12.75" customHeight="1" x14ac:dyDescent="0.25">
      <c r="A6" s="147">
        <v>1430</v>
      </c>
      <c r="B6" s="148">
        <v>3993058</v>
      </c>
      <c r="C6" s="144" t="s">
        <v>293</v>
      </c>
      <c r="E6" s="174"/>
    </row>
    <row r="7" spans="1:8" ht="12.75" customHeight="1" x14ac:dyDescent="0.25">
      <c r="A7" s="147">
        <v>1461</v>
      </c>
      <c r="B7" s="148">
        <v>3910393</v>
      </c>
      <c r="C7" s="144" t="s">
        <v>293</v>
      </c>
      <c r="E7" s="174"/>
    </row>
    <row r="8" spans="1:8" ht="12.75" customHeight="1" x14ac:dyDescent="0.25">
      <c r="A8" s="147">
        <v>1492</v>
      </c>
      <c r="B8" s="148">
        <v>5484295</v>
      </c>
      <c r="C8" s="144" t="s">
        <v>293</v>
      </c>
      <c r="E8" s="174"/>
    </row>
    <row r="9" spans="1:8" ht="12.75" customHeight="1" x14ac:dyDescent="0.25">
      <c r="A9" s="147">
        <v>1521</v>
      </c>
      <c r="B9" s="148">
        <v>6233827</v>
      </c>
      <c r="C9" s="144" t="s">
        <v>293</v>
      </c>
      <c r="E9" s="174"/>
    </row>
    <row r="10" spans="1:8" ht="12.75" customHeight="1" x14ac:dyDescent="0.25">
      <c r="A10" s="147">
        <v>1552</v>
      </c>
      <c r="B10" s="148">
        <v>7402368</v>
      </c>
      <c r="C10" s="144" t="s">
        <v>293</v>
      </c>
      <c r="E10" s="174"/>
    </row>
    <row r="11" spans="1:8" ht="12.75" customHeight="1" x14ac:dyDescent="0.25">
      <c r="A11" s="147">
        <v>1582</v>
      </c>
      <c r="B11" s="148">
        <v>6718799</v>
      </c>
      <c r="C11" s="144" t="s">
        <v>293</v>
      </c>
      <c r="E11" s="174"/>
    </row>
    <row r="12" spans="1:8" ht="12.75" customHeight="1" x14ac:dyDescent="0.25">
      <c r="A12" s="147">
        <v>1613</v>
      </c>
      <c r="B12" s="148">
        <v>8226114</v>
      </c>
      <c r="C12" s="144" t="s">
        <v>293</v>
      </c>
      <c r="E12" s="174"/>
    </row>
    <row r="13" spans="1:8" ht="12.75" customHeight="1" x14ac:dyDescent="0.25">
      <c r="A13" s="147">
        <v>1643</v>
      </c>
      <c r="B13" s="148">
        <v>9057127</v>
      </c>
      <c r="C13" s="144" t="s">
        <v>293</v>
      </c>
      <c r="E13" s="174"/>
    </row>
    <row r="14" spans="1:8" ht="12.75" customHeight="1" x14ac:dyDescent="0.25">
      <c r="A14" s="147">
        <v>1674</v>
      </c>
      <c r="B14" s="148">
        <v>10481955</v>
      </c>
      <c r="C14" s="144" t="s">
        <v>293</v>
      </c>
      <c r="E14" s="174"/>
    </row>
    <row r="15" spans="1:8" ht="12.75" customHeight="1" x14ac:dyDescent="0.25">
      <c r="A15" s="147">
        <v>1705</v>
      </c>
      <c r="B15" s="148">
        <v>12362617</v>
      </c>
      <c r="C15" s="144" t="s">
        <v>293</v>
      </c>
      <c r="E15" s="174"/>
    </row>
    <row r="16" spans="1:8" ht="12.75" customHeight="1" x14ac:dyDescent="0.25">
      <c r="A16" s="147">
        <v>1735</v>
      </c>
      <c r="B16" s="148">
        <v>14253799</v>
      </c>
      <c r="C16" s="144" t="s">
        <v>293</v>
      </c>
      <c r="E16" s="174"/>
    </row>
    <row r="17" spans="1:5" ht="12.75" customHeight="1" x14ac:dyDescent="0.25">
      <c r="A17" s="147">
        <v>1766</v>
      </c>
      <c r="B17" s="148">
        <v>15963043</v>
      </c>
      <c r="C17" s="144" t="s">
        <v>293</v>
      </c>
      <c r="E17" s="174"/>
    </row>
    <row r="18" spans="1:5" ht="12.75" customHeight="1" x14ac:dyDescent="0.25">
      <c r="A18" s="147">
        <v>1796</v>
      </c>
      <c r="B18" s="148">
        <v>18003984</v>
      </c>
      <c r="C18" s="144" t="s">
        <v>293</v>
      </c>
      <c r="E18" s="174"/>
    </row>
    <row r="19" spans="1:5" ht="12.75" customHeight="1" x14ac:dyDescent="0.25">
      <c r="A19" s="147">
        <v>1827</v>
      </c>
      <c r="B19" s="148">
        <v>20765524</v>
      </c>
      <c r="C19" s="144" t="s">
        <v>293</v>
      </c>
      <c r="E19" s="174"/>
    </row>
    <row r="20" spans="1:5" ht="12.75" customHeight="1" x14ac:dyDescent="0.25">
      <c r="A20" s="147">
        <v>1858</v>
      </c>
      <c r="B20" s="148">
        <v>24449679</v>
      </c>
      <c r="C20" s="144" t="s">
        <v>293</v>
      </c>
      <c r="E20" s="174"/>
    </row>
    <row r="21" spans="1:5" ht="12.75" customHeight="1" x14ac:dyDescent="0.25">
      <c r="A21" s="147">
        <v>1886</v>
      </c>
      <c r="B21" s="148">
        <v>26712956</v>
      </c>
      <c r="C21" s="144" t="s">
        <v>293</v>
      </c>
      <c r="E21" s="174"/>
    </row>
    <row r="22" spans="1:5" ht="12.75" customHeight="1" x14ac:dyDescent="0.25">
      <c r="A22" s="147">
        <v>1917</v>
      </c>
      <c r="B22" s="148">
        <v>27044715</v>
      </c>
      <c r="C22" s="144" t="s">
        <v>293</v>
      </c>
      <c r="E22" s="174"/>
    </row>
    <row r="23" spans="1:5" ht="12.75" customHeight="1" x14ac:dyDescent="0.25">
      <c r="A23" s="147">
        <v>1947</v>
      </c>
      <c r="B23" s="148">
        <v>28839477</v>
      </c>
      <c r="C23" s="144" t="s">
        <v>293</v>
      </c>
      <c r="E23" s="174"/>
    </row>
    <row r="24" spans="1:5" ht="12.75" customHeight="1" x14ac:dyDescent="0.25">
      <c r="A24" s="147">
        <v>1978</v>
      </c>
      <c r="B24" s="148">
        <v>28054738</v>
      </c>
      <c r="C24" s="144" t="s">
        <v>293</v>
      </c>
      <c r="E24" s="174"/>
    </row>
    <row r="25" spans="1:5" ht="12.75" customHeight="1" x14ac:dyDescent="0.25">
      <c r="A25" s="147">
        <v>2008</v>
      </c>
      <c r="B25" s="148">
        <v>28160667</v>
      </c>
      <c r="C25" s="144" t="s">
        <v>293</v>
      </c>
      <c r="E25" s="174"/>
    </row>
    <row r="26" spans="1:5" ht="12.75" customHeight="1" x14ac:dyDescent="0.25">
      <c r="A26" s="147">
        <v>2039</v>
      </c>
      <c r="B26" s="148">
        <v>27460628</v>
      </c>
      <c r="C26" s="144" t="s">
        <v>293</v>
      </c>
      <c r="E26" s="174"/>
    </row>
    <row r="27" spans="1:5" ht="12.75" customHeight="1" x14ac:dyDescent="0.25">
      <c r="A27" s="147">
        <v>2070</v>
      </c>
      <c r="B27" s="148">
        <v>27291621</v>
      </c>
      <c r="C27" s="144" t="s">
        <v>293</v>
      </c>
      <c r="E27" s="174"/>
    </row>
    <row r="28" spans="1:5" ht="12.75" customHeight="1" x14ac:dyDescent="0.25">
      <c r="A28" s="147">
        <v>2100</v>
      </c>
      <c r="B28" s="148">
        <v>27605390</v>
      </c>
      <c r="C28" s="144" t="s">
        <v>293</v>
      </c>
      <c r="E28" s="174"/>
    </row>
    <row r="29" spans="1:5" ht="12.75" customHeight="1" x14ac:dyDescent="0.25">
      <c r="A29" s="147">
        <v>2131</v>
      </c>
      <c r="B29" s="148">
        <v>28067671</v>
      </c>
      <c r="C29" s="144" t="s">
        <v>293</v>
      </c>
      <c r="E29" s="174"/>
    </row>
    <row r="30" spans="1:5" ht="12.75" customHeight="1" x14ac:dyDescent="0.25">
      <c r="A30" s="147">
        <v>2161</v>
      </c>
      <c r="B30" s="148">
        <v>27060682</v>
      </c>
      <c r="C30" s="144" t="s">
        <v>293</v>
      </c>
      <c r="E30" s="174"/>
    </row>
    <row r="31" spans="1:5" ht="12.75" customHeight="1" x14ac:dyDescent="0.25">
      <c r="A31" s="147">
        <v>2192</v>
      </c>
      <c r="B31" s="148">
        <v>28451846</v>
      </c>
      <c r="C31" s="144" t="s">
        <v>293</v>
      </c>
      <c r="E31" s="174"/>
    </row>
    <row r="32" spans="1:5" ht="12.75" customHeight="1" x14ac:dyDescent="0.25">
      <c r="A32" s="147">
        <v>2223</v>
      </c>
      <c r="B32" s="148">
        <v>28257320</v>
      </c>
      <c r="C32" s="144" t="s">
        <v>293</v>
      </c>
      <c r="E32" s="174"/>
    </row>
    <row r="33" spans="1:5" ht="12.75" customHeight="1" x14ac:dyDescent="0.25">
      <c r="A33" s="147">
        <v>2251</v>
      </c>
      <c r="B33" s="148">
        <v>29401435</v>
      </c>
      <c r="C33" s="144" t="s">
        <v>293</v>
      </c>
      <c r="E33" s="174"/>
    </row>
    <row r="34" spans="1:5" ht="12.75" customHeight="1" x14ac:dyDescent="0.25">
      <c r="A34" s="147">
        <v>2282</v>
      </c>
      <c r="B34" s="148">
        <v>29663356</v>
      </c>
      <c r="C34" s="144" t="s">
        <v>293</v>
      </c>
      <c r="E34" s="174"/>
    </row>
    <row r="35" spans="1:5" ht="12.75" customHeight="1" x14ac:dyDescent="0.25">
      <c r="A35" s="147">
        <v>2312</v>
      </c>
      <c r="B35" s="148">
        <v>29679865</v>
      </c>
      <c r="C35" s="144" t="s">
        <v>293</v>
      </c>
      <c r="E35" s="174"/>
    </row>
    <row r="36" spans="1:5" ht="12.75" customHeight="1" x14ac:dyDescent="0.25">
      <c r="A36" s="147">
        <v>2343</v>
      </c>
      <c r="B36" s="148">
        <v>30409815</v>
      </c>
      <c r="C36" s="144" t="s">
        <v>293</v>
      </c>
      <c r="E36" s="174"/>
    </row>
    <row r="37" spans="1:5" ht="12.75" customHeight="1" x14ac:dyDescent="0.25">
      <c r="A37" s="147">
        <v>2373</v>
      </c>
      <c r="B37" s="148">
        <v>30030411</v>
      </c>
      <c r="C37" s="144" t="s">
        <v>293</v>
      </c>
      <c r="E37" s="174"/>
    </row>
    <row r="38" spans="1:5" ht="12.75" customHeight="1" x14ac:dyDescent="0.25">
      <c r="A38" s="147">
        <v>2404</v>
      </c>
      <c r="B38" s="148">
        <v>30225241.710000001</v>
      </c>
      <c r="C38" s="144" t="s">
        <v>294</v>
      </c>
      <c r="E38" s="174"/>
    </row>
    <row r="39" spans="1:5" ht="12.75" customHeight="1" x14ac:dyDescent="0.25">
      <c r="A39" s="147">
        <v>2435</v>
      </c>
      <c r="B39" s="148">
        <v>31614094.109999999</v>
      </c>
      <c r="C39" s="144" t="s">
        <v>294</v>
      </c>
      <c r="E39" s="174"/>
    </row>
    <row r="40" spans="1:5" ht="12.75" customHeight="1" x14ac:dyDescent="0.25">
      <c r="A40" s="147">
        <v>2465</v>
      </c>
      <c r="B40" s="148">
        <v>32017967.559999999</v>
      </c>
      <c r="C40" s="144" t="s">
        <v>294</v>
      </c>
      <c r="E40" s="174"/>
    </row>
    <row r="41" spans="1:5" ht="12.75" customHeight="1" x14ac:dyDescent="0.25">
      <c r="A41" s="147">
        <v>2496</v>
      </c>
      <c r="B41" s="148">
        <v>33223788</v>
      </c>
      <c r="C41" s="144" t="s">
        <v>294</v>
      </c>
      <c r="E41" s="174"/>
    </row>
    <row r="42" spans="1:5" ht="12.75" customHeight="1" x14ac:dyDescent="0.25">
      <c r="A42" s="147">
        <v>2526</v>
      </c>
      <c r="B42" s="148">
        <v>35077222.579999998</v>
      </c>
      <c r="C42" s="144" t="s">
        <v>294</v>
      </c>
      <c r="E42" s="174"/>
    </row>
    <row r="43" spans="1:5" ht="12.75" customHeight="1" x14ac:dyDescent="0.25">
      <c r="A43" s="147">
        <v>2557</v>
      </c>
      <c r="B43" s="148">
        <v>35162531.460000001</v>
      </c>
      <c r="C43" s="144" t="s">
        <v>294</v>
      </c>
      <c r="E43" s="174"/>
    </row>
    <row r="44" spans="1:5" ht="12.75" customHeight="1" x14ac:dyDescent="0.25">
      <c r="A44" s="147">
        <v>2588</v>
      </c>
      <c r="B44" s="148">
        <v>35101204.630000003</v>
      </c>
      <c r="C44" s="144" t="s">
        <v>294</v>
      </c>
      <c r="E44" s="174"/>
    </row>
    <row r="45" spans="1:5" ht="12.75" customHeight="1" x14ac:dyDescent="0.25">
      <c r="A45" s="147">
        <v>2616</v>
      </c>
      <c r="B45" s="148">
        <v>36073785.600000001</v>
      </c>
      <c r="C45" s="144" t="s">
        <v>294</v>
      </c>
      <c r="E45" s="174"/>
    </row>
    <row r="46" spans="1:5" ht="12.75" customHeight="1" x14ac:dyDescent="0.25">
      <c r="A46" s="147">
        <v>2647</v>
      </c>
      <c r="B46" s="148">
        <v>37430436.07</v>
      </c>
      <c r="C46" s="144" t="s">
        <v>294</v>
      </c>
      <c r="E46" s="174"/>
    </row>
    <row r="47" spans="1:5" ht="12.75" customHeight="1" x14ac:dyDescent="0.25">
      <c r="A47" s="147">
        <v>2677</v>
      </c>
      <c r="B47" s="148">
        <v>38927077.329999998</v>
      </c>
      <c r="C47" s="144" t="s">
        <v>294</v>
      </c>
      <c r="E47" s="174"/>
    </row>
    <row r="48" spans="1:5" ht="12.75" customHeight="1" x14ac:dyDescent="0.25">
      <c r="A48" s="147">
        <v>2708</v>
      </c>
      <c r="B48" s="148">
        <v>41156557.079999998</v>
      </c>
      <c r="C48" s="144" t="s">
        <v>294</v>
      </c>
      <c r="E48" s="174"/>
    </row>
    <row r="49" spans="1:5" ht="12.75" customHeight="1" x14ac:dyDescent="0.25">
      <c r="A49" s="147">
        <v>2738</v>
      </c>
      <c r="B49" s="148">
        <v>42814314.75</v>
      </c>
      <c r="C49" s="144" t="s">
        <v>295</v>
      </c>
      <c r="E49" s="174"/>
    </row>
    <row r="50" spans="1:5" ht="12.75" customHeight="1" x14ac:dyDescent="0.25">
      <c r="A50" s="147">
        <v>2769</v>
      </c>
      <c r="B50" s="148">
        <v>42167914.630000003</v>
      </c>
      <c r="C50" s="144" t="s">
        <v>295</v>
      </c>
      <c r="E50" s="174"/>
    </row>
    <row r="51" spans="1:5" ht="12.75" customHeight="1" x14ac:dyDescent="0.25">
      <c r="A51" s="147">
        <v>2800</v>
      </c>
      <c r="B51" s="148">
        <v>41018008.469999999</v>
      </c>
      <c r="C51" s="144" t="s">
        <v>295</v>
      </c>
      <c r="E51" s="174"/>
    </row>
    <row r="52" spans="1:5" ht="12.75" customHeight="1" x14ac:dyDescent="0.25">
      <c r="A52" s="147">
        <v>2830</v>
      </c>
      <c r="B52" s="148">
        <v>40158542.670000002</v>
      </c>
      <c r="C52" s="144" t="s">
        <v>295</v>
      </c>
      <c r="E52" s="174"/>
    </row>
    <row r="53" spans="1:5" ht="12.75" customHeight="1" x14ac:dyDescent="0.25">
      <c r="A53" s="147">
        <v>2861</v>
      </c>
      <c r="B53" s="148">
        <v>40309303.950000003</v>
      </c>
      <c r="C53" s="144" t="s">
        <v>295</v>
      </c>
      <c r="E53" s="174"/>
    </row>
    <row r="54" spans="1:5" ht="12.75" customHeight="1" x14ac:dyDescent="0.25">
      <c r="A54" s="147">
        <v>2891</v>
      </c>
      <c r="B54" s="148">
        <v>40547339.585000001</v>
      </c>
      <c r="C54" s="144" t="s">
        <v>295</v>
      </c>
      <c r="E54" s="174"/>
    </row>
    <row r="55" spans="1:5" ht="12.75" customHeight="1" x14ac:dyDescent="0.25">
      <c r="A55" s="147">
        <v>2922</v>
      </c>
      <c r="B55" s="148">
        <v>38586997.145000003</v>
      </c>
      <c r="C55" s="144" t="s">
        <v>295</v>
      </c>
      <c r="E55" s="174"/>
    </row>
    <row r="56" spans="1:5" ht="12.75" customHeight="1" x14ac:dyDescent="0.25">
      <c r="A56" s="147">
        <v>2953</v>
      </c>
      <c r="B56" s="148">
        <v>38104952.045000002</v>
      </c>
      <c r="C56" s="144" t="s">
        <v>295</v>
      </c>
      <c r="E56" s="174"/>
    </row>
    <row r="57" spans="1:5" ht="12.75" customHeight="1" x14ac:dyDescent="0.25">
      <c r="A57" s="147">
        <v>2982</v>
      </c>
      <c r="B57" s="148">
        <v>38743244.015000001</v>
      </c>
      <c r="C57" s="144" t="s">
        <v>295</v>
      </c>
      <c r="E57" s="174"/>
    </row>
    <row r="58" spans="1:5" ht="12.75" customHeight="1" x14ac:dyDescent="0.25">
      <c r="A58" s="147">
        <v>3013</v>
      </c>
      <c r="B58" s="148">
        <v>42297753.155000001</v>
      </c>
      <c r="C58" s="144" t="s">
        <v>295</v>
      </c>
      <c r="E58" s="174"/>
    </row>
    <row r="59" spans="1:5" ht="12.75" customHeight="1" x14ac:dyDescent="0.25">
      <c r="A59" s="147">
        <v>3043</v>
      </c>
      <c r="B59" s="148">
        <v>41994632.255000003</v>
      </c>
      <c r="C59" s="144" t="s">
        <v>295</v>
      </c>
      <c r="E59" s="174"/>
    </row>
    <row r="60" spans="1:5" ht="12.75" customHeight="1" x14ac:dyDescent="0.25">
      <c r="A60" s="147">
        <v>3074</v>
      </c>
      <c r="B60" s="148">
        <v>42134676.759999998</v>
      </c>
      <c r="C60" s="144" t="s">
        <v>295</v>
      </c>
      <c r="E60" s="174"/>
    </row>
    <row r="61" spans="1:5" ht="12.75" customHeight="1" x14ac:dyDescent="0.25">
      <c r="A61" s="147">
        <v>3104</v>
      </c>
      <c r="B61" s="148">
        <v>40337982.039999999</v>
      </c>
      <c r="C61" s="144" t="s">
        <v>295</v>
      </c>
      <c r="E61" s="174"/>
    </row>
    <row r="62" spans="1:5" ht="12.75" customHeight="1" x14ac:dyDescent="0.25">
      <c r="A62" s="147">
        <v>3135</v>
      </c>
      <c r="B62" s="148">
        <v>38284768.479999997</v>
      </c>
      <c r="C62" s="144" t="s">
        <v>302</v>
      </c>
      <c r="E62" s="174"/>
    </row>
    <row r="63" spans="1:5" ht="12.75" customHeight="1" x14ac:dyDescent="0.25">
      <c r="A63" s="147">
        <v>3166</v>
      </c>
      <c r="B63" s="148">
        <v>38850255.969999999</v>
      </c>
      <c r="C63" s="144" t="s">
        <v>302</v>
      </c>
      <c r="E63" s="174"/>
    </row>
    <row r="64" spans="1:5" ht="12.75" customHeight="1" x14ac:dyDescent="0.25">
      <c r="A64" s="147">
        <v>3196</v>
      </c>
      <c r="B64" s="148">
        <v>39536553.960000001</v>
      </c>
      <c r="C64" s="144" t="s">
        <v>302</v>
      </c>
      <c r="E64" s="174"/>
    </row>
    <row r="65" spans="1:5" ht="12.75" customHeight="1" x14ac:dyDescent="0.25">
      <c r="A65" s="147">
        <v>3227</v>
      </c>
      <c r="B65" s="148">
        <v>38691563.490000002</v>
      </c>
      <c r="C65" s="144" t="s">
        <v>302</v>
      </c>
      <c r="E65" s="174"/>
    </row>
    <row r="66" spans="1:5" ht="12.75" customHeight="1" x14ac:dyDescent="0.25">
      <c r="A66" s="147">
        <v>3257</v>
      </c>
      <c r="B66" s="148">
        <v>39853584.57</v>
      </c>
      <c r="C66" s="144" t="s">
        <v>302</v>
      </c>
      <c r="E66" s="174"/>
    </row>
    <row r="67" spans="1:5" ht="12.75" customHeight="1" x14ac:dyDescent="0.25">
      <c r="A67" s="147">
        <v>3288</v>
      </c>
      <c r="B67" s="148">
        <v>40235347.450000003</v>
      </c>
      <c r="C67" s="144" t="s">
        <v>302</v>
      </c>
      <c r="E67" s="174"/>
    </row>
    <row r="68" spans="1:5" ht="12.75" customHeight="1" x14ac:dyDescent="0.25">
      <c r="A68" s="147">
        <v>3319</v>
      </c>
      <c r="B68" s="148">
        <v>40827051.130000003</v>
      </c>
      <c r="C68" s="144" t="s">
        <v>302</v>
      </c>
      <c r="E68" s="174"/>
    </row>
    <row r="69" spans="1:5" ht="12.75" customHeight="1" x14ac:dyDescent="0.25">
      <c r="A69" s="147">
        <v>3347</v>
      </c>
      <c r="B69" s="148">
        <v>41278906.850000001</v>
      </c>
      <c r="C69" s="144" t="s">
        <v>302</v>
      </c>
      <c r="E69" s="174"/>
    </row>
    <row r="70" spans="1:5" ht="12.75" customHeight="1" x14ac:dyDescent="0.25">
      <c r="A70" s="147">
        <v>3378</v>
      </c>
      <c r="B70" s="148">
        <v>42185809.609999999</v>
      </c>
      <c r="C70" s="144" t="s">
        <v>302</v>
      </c>
      <c r="E70" s="174"/>
    </row>
    <row r="71" spans="1:5" ht="12.75" customHeight="1" x14ac:dyDescent="0.25">
      <c r="A71" s="147">
        <v>3408</v>
      </c>
      <c r="B71" s="148">
        <v>41337305.380000003</v>
      </c>
      <c r="C71" s="144" t="s">
        <v>302</v>
      </c>
      <c r="E71" s="174"/>
    </row>
    <row r="72" spans="1:5" ht="12.75" customHeight="1" x14ac:dyDescent="0.25">
      <c r="A72" s="147">
        <v>3439</v>
      </c>
      <c r="B72" s="148">
        <v>41631217.32</v>
      </c>
      <c r="C72" s="144" t="s">
        <v>302</v>
      </c>
      <c r="E72" s="174"/>
    </row>
    <row r="73" spans="1:5" ht="12.75" customHeight="1" x14ac:dyDescent="0.25">
      <c r="A73" s="147">
        <v>3469</v>
      </c>
      <c r="B73" s="148">
        <v>41528607.740000002</v>
      </c>
      <c r="C73" s="144" t="s">
        <v>302</v>
      </c>
      <c r="E73" s="174"/>
    </row>
    <row r="74" spans="1:5" ht="12.75" customHeight="1" x14ac:dyDescent="0.25">
      <c r="A74" s="147">
        <v>3500</v>
      </c>
      <c r="B74" s="148">
        <v>41470242.090000004</v>
      </c>
      <c r="C74" s="144" t="s">
        <v>303</v>
      </c>
      <c r="E74" s="174"/>
    </row>
    <row r="75" spans="1:5" ht="12.75" customHeight="1" x14ac:dyDescent="0.25">
      <c r="A75" s="147">
        <v>3531</v>
      </c>
      <c r="B75" s="148">
        <v>42341095.409999996</v>
      </c>
      <c r="C75" s="144" t="s">
        <v>303</v>
      </c>
      <c r="E75" s="174"/>
    </row>
    <row r="76" spans="1:5" ht="12.75" customHeight="1" x14ac:dyDescent="0.25">
      <c r="A76" s="147">
        <v>3561</v>
      </c>
      <c r="B76" s="148">
        <v>42909045.439999998</v>
      </c>
      <c r="C76" s="144" t="s">
        <v>303</v>
      </c>
      <c r="E76" s="174"/>
    </row>
    <row r="77" spans="1:5" ht="12.75" customHeight="1" x14ac:dyDescent="0.25">
      <c r="A77" s="147">
        <v>3592</v>
      </c>
      <c r="B77" s="148">
        <v>44283261.799999997</v>
      </c>
      <c r="C77" s="144" t="s">
        <v>303</v>
      </c>
      <c r="E77" s="174"/>
    </row>
    <row r="78" spans="1:5" ht="12.75" customHeight="1" x14ac:dyDescent="0.25">
      <c r="A78" s="147">
        <v>3622</v>
      </c>
      <c r="B78" s="148">
        <v>45659528.359999999</v>
      </c>
      <c r="C78" s="144" t="s">
        <v>303</v>
      </c>
      <c r="E78" s="174"/>
    </row>
    <row r="79" spans="1:5" ht="12.75" customHeight="1" x14ac:dyDescent="0.25">
      <c r="A79" s="147">
        <v>3653</v>
      </c>
      <c r="B79" s="148">
        <v>44274901.219999999</v>
      </c>
      <c r="C79" s="144" t="s">
        <v>303</v>
      </c>
      <c r="E79" s="174"/>
    </row>
    <row r="80" spans="1:5" ht="12.75" customHeight="1" x14ac:dyDescent="0.25">
      <c r="A80" s="147">
        <v>3684</v>
      </c>
      <c r="B80" s="148">
        <v>43837722.159999996</v>
      </c>
      <c r="C80" s="144" t="s">
        <v>303</v>
      </c>
      <c r="E80" s="174"/>
    </row>
    <row r="81" spans="1:5" ht="12.75" customHeight="1" x14ac:dyDescent="0.25">
      <c r="A81" s="147">
        <v>3712</v>
      </c>
      <c r="B81" s="148">
        <v>45630816.630000003</v>
      </c>
      <c r="C81" s="144" t="s">
        <v>303</v>
      </c>
      <c r="E81" s="174"/>
    </row>
    <row r="82" spans="1:5" ht="12.75" customHeight="1" x14ac:dyDescent="0.25">
      <c r="A82" s="147">
        <v>3743</v>
      </c>
      <c r="B82" s="148">
        <v>47999788.420000002</v>
      </c>
      <c r="C82" s="144" t="s">
        <v>303</v>
      </c>
      <c r="E82" s="174"/>
    </row>
    <row r="83" spans="1:5" ht="12.75" customHeight="1" x14ac:dyDescent="0.25">
      <c r="A83" s="147">
        <v>3773</v>
      </c>
      <c r="B83" s="148">
        <v>48207084.340000004</v>
      </c>
      <c r="C83" s="144" t="s">
        <v>303</v>
      </c>
      <c r="E83" s="174"/>
    </row>
    <row r="84" spans="1:5" ht="12.75" customHeight="1" x14ac:dyDescent="0.25">
      <c r="A84" s="147">
        <v>3804</v>
      </c>
      <c r="B84" s="148">
        <v>48491228.380000003</v>
      </c>
      <c r="C84" s="144" t="s">
        <v>303</v>
      </c>
      <c r="E84" s="174"/>
    </row>
    <row r="85" spans="1:5" ht="12.75" customHeight="1" x14ac:dyDescent="0.25">
      <c r="A85" s="147">
        <v>3834</v>
      </c>
      <c r="B85" s="148">
        <v>48754697.359999999</v>
      </c>
      <c r="C85" s="144" t="s">
        <v>303</v>
      </c>
      <c r="E85" s="174"/>
    </row>
    <row r="86" spans="1:5" ht="12.75" customHeight="1" x14ac:dyDescent="0.25">
      <c r="A86" s="147">
        <v>3865</v>
      </c>
      <c r="B86" s="148">
        <v>47837053.869999997</v>
      </c>
      <c r="C86" s="144" t="s">
        <v>304</v>
      </c>
      <c r="E86" s="174"/>
    </row>
    <row r="87" spans="1:5" ht="12.75" customHeight="1" x14ac:dyDescent="0.25">
      <c r="A87" s="147">
        <v>3896</v>
      </c>
      <c r="B87" s="148">
        <v>48591930.850000001</v>
      </c>
      <c r="C87" s="144" t="s">
        <v>304</v>
      </c>
      <c r="E87" s="174"/>
    </row>
    <row r="88" spans="1:5" ht="12.75" customHeight="1" x14ac:dyDescent="0.25">
      <c r="A88" s="147">
        <v>3926</v>
      </c>
      <c r="B88" s="148">
        <v>48305842.32</v>
      </c>
      <c r="C88" s="144" t="s">
        <v>304</v>
      </c>
      <c r="E88" s="174"/>
    </row>
    <row r="89" spans="1:5" ht="12.75" customHeight="1" x14ac:dyDescent="0.25">
      <c r="A89" s="147">
        <v>3957</v>
      </c>
      <c r="B89" s="148">
        <v>48199554.82</v>
      </c>
      <c r="C89" s="144" t="s">
        <v>304</v>
      </c>
      <c r="E89" s="174"/>
    </row>
    <row r="90" spans="1:5" ht="12.75" customHeight="1" x14ac:dyDescent="0.25">
      <c r="A90" s="147">
        <v>3987</v>
      </c>
      <c r="B90" s="148">
        <v>4746420.93</v>
      </c>
      <c r="C90" s="144" t="s">
        <v>304</v>
      </c>
      <c r="E90" s="174"/>
    </row>
    <row r="91" spans="1:5" ht="12.75" customHeight="1" x14ac:dyDescent="0.25">
      <c r="A91" s="147">
        <v>4018</v>
      </c>
      <c r="B91" s="148">
        <v>45915310.409999996</v>
      </c>
      <c r="C91" s="144" t="s">
        <v>304</v>
      </c>
      <c r="E91" s="174"/>
    </row>
    <row r="92" spans="1:5" ht="12.75" customHeight="1" x14ac:dyDescent="0.25">
      <c r="A92" s="147">
        <v>4049</v>
      </c>
      <c r="B92" s="148">
        <v>46038626.140000001</v>
      </c>
      <c r="C92" s="144" t="s">
        <v>304</v>
      </c>
      <c r="E92" s="174"/>
    </row>
    <row r="93" spans="1:5" ht="12.75" customHeight="1" x14ac:dyDescent="0.25">
      <c r="A93" s="147">
        <v>4077</v>
      </c>
      <c r="B93" s="148">
        <v>47539467.259999998</v>
      </c>
      <c r="C93" s="144" t="s">
        <v>304</v>
      </c>
      <c r="E93" s="174"/>
    </row>
    <row r="94" spans="1:5" ht="12.75" customHeight="1" x14ac:dyDescent="0.25">
      <c r="A94" s="147">
        <v>4108</v>
      </c>
      <c r="B94" s="148">
        <v>48332508.990000002</v>
      </c>
      <c r="C94" s="144" t="s">
        <v>304</v>
      </c>
      <c r="E94" s="174"/>
    </row>
    <row r="95" spans="1:5" ht="12.75" customHeight="1" x14ac:dyDescent="0.25">
      <c r="A95" s="147">
        <v>4138</v>
      </c>
      <c r="B95" s="148">
        <v>48981356.840000004</v>
      </c>
      <c r="C95" s="144" t="s">
        <v>304</v>
      </c>
      <c r="E95" s="174"/>
    </row>
    <row r="96" spans="1:5" ht="12.75" customHeight="1" x14ac:dyDescent="0.25">
      <c r="A96" s="147">
        <v>4169</v>
      </c>
      <c r="B96" s="148">
        <v>49153280.060000002</v>
      </c>
      <c r="C96" s="144" t="s">
        <v>304</v>
      </c>
      <c r="E96" s="174"/>
    </row>
    <row r="97" spans="1:5" ht="12.75" customHeight="1" x14ac:dyDescent="0.25">
      <c r="A97" s="147">
        <v>4199</v>
      </c>
      <c r="B97" s="148">
        <v>48155587.149999999</v>
      </c>
      <c r="C97" s="144" t="s">
        <v>304</v>
      </c>
      <c r="E97" s="174"/>
    </row>
    <row r="98" spans="1:5" ht="12.75" customHeight="1" x14ac:dyDescent="0.25">
      <c r="A98" s="147">
        <v>4230</v>
      </c>
      <c r="B98" s="148">
        <v>47767110.390000001</v>
      </c>
      <c r="C98" s="144" t="s">
        <v>305</v>
      </c>
      <c r="E98" s="174"/>
    </row>
    <row r="99" spans="1:5" ht="12.75" customHeight="1" x14ac:dyDescent="0.25">
      <c r="A99" s="147">
        <v>4261</v>
      </c>
      <c r="B99" s="148">
        <v>48780995.149999999</v>
      </c>
      <c r="C99" s="144" t="s">
        <v>305</v>
      </c>
      <c r="E99" s="174"/>
    </row>
    <row r="100" spans="1:5" ht="12.75" customHeight="1" x14ac:dyDescent="0.25">
      <c r="A100" s="147">
        <v>4291</v>
      </c>
      <c r="B100" s="148">
        <v>50632042.719999999</v>
      </c>
      <c r="C100" s="144" t="s">
        <v>305</v>
      </c>
      <c r="E100" s="174"/>
    </row>
    <row r="101" spans="1:5" ht="12.75" customHeight="1" x14ac:dyDescent="0.25">
      <c r="A101" s="147">
        <v>4322</v>
      </c>
      <c r="B101" s="148">
        <v>52660621.600000001</v>
      </c>
      <c r="C101" s="144" t="s">
        <v>305</v>
      </c>
      <c r="E101" s="174"/>
    </row>
    <row r="102" spans="1:5" ht="12.75" customHeight="1" x14ac:dyDescent="0.25">
      <c r="A102" s="147">
        <v>4352</v>
      </c>
      <c r="B102" s="148">
        <v>54482270.170000002</v>
      </c>
      <c r="C102" s="144" t="s">
        <v>305</v>
      </c>
      <c r="E102" s="174"/>
    </row>
    <row r="103" spans="1:5" ht="12.75" customHeight="1" x14ac:dyDescent="0.25">
      <c r="A103" s="147">
        <v>4383</v>
      </c>
      <c r="B103" s="148">
        <v>54758509.100000001</v>
      </c>
      <c r="C103" s="144" t="s">
        <v>305</v>
      </c>
      <c r="E103" s="174"/>
    </row>
    <row r="104" spans="1:5" ht="12.75" customHeight="1" x14ac:dyDescent="0.25">
      <c r="A104" s="147">
        <v>4414</v>
      </c>
      <c r="B104" s="148">
        <v>56064327.25</v>
      </c>
      <c r="C104" s="144" t="s">
        <v>305</v>
      </c>
      <c r="E104" s="174"/>
    </row>
    <row r="105" spans="1:5" ht="12.75" customHeight="1" x14ac:dyDescent="0.25">
      <c r="A105" s="147">
        <v>4443</v>
      </c>
      <c r="B105" s="148">
        <v>55845020.420000002</v>
      </c>
      <c r="C105" s="144" t="s">
        <v>305</v>
      </c>
      <c r="E105" s="174"/>
    </row>
    <row r="106" spans="1:5" ht="12.75" customHeight="1" x14ac:dyDescent="0.25">
      <c r="A106" s="147">
        <v>4474</v>
      </c>
      <c r="B106" s="148">
        <v>55371796.770000003</v>
      </c>
      <c r="C106" s="144" t="s">
        <v>305</v>
      </c>
      <c r="E106" s="174"/>
    </row>
    <row r="107" spans="1:5" ht="12.75" customHeight="1" x14ac:dyDescent="0.25">
      <c r="A107" s="147">
        <v>4504</v>
      </c>
      <c r="B107" s="148">
        <v>55087612.759999998</v>
      </c>
      <c r="C107" s="144" t="s">
        <v>305</v>
      </c>
      <c r="E107" s="174"/>
    </row>
    <row r="108" spans="1:5" ht="12.75" customHeight="1" x14ac:dyDescent="0.25">
      <c r="A108" s="147">
        <v>4535</v>
      </c>
      <c r="B108" s="148">
        <v>55316290.82</v>
      </c>
      <c r="C108" s="144" t="s">
        <v>305</v>
      </c>
      <c r="E108" s="174"/>
    </row>
    <row r="109" spans="1:5" ht="12.75" customHeight="1" x14ac:dyDescent="0.25">
      <c r="A109" s="147">
        <v>4565</v>
      </c>
      <c r="B109" s="148">
        <v>52055892.969999999</v>
      </c>
      <c r="C109" s="144" t="s">
        <v>305</v>
      </c>
      <c r="E109" s="174"/>
    </row>
    <row r="110" spans="1:5" ht="12.75" customHeight="1" x14ac:dyDescent="0.25">
      <c r="A110" s="147">
        <v>4596</v>
      </c>
      <c r="B110" s="148">
        <v>50713063.189999998</v>
      </c>
      <c r="C110" s="144" t="s">
        <v>306</v>
      </c>
      <c r="E110" s="176"/>
    </row>
    <row r="111" spans="1:5" ht="12.75" customHeight="1" x14ac:dyDescent="0.25">
      <c r="A111" s="147">
        <v>4627</v>
      </c>
      <c r="B111" s="148">
        <v>50925626.759999998</v>
      </c>
      <c r="C111" s="144" t="s">
        <v>306</v>
      </c>
      <c r="E111" s="174"/>
    </row>
    <row r="112" spans="1:5" ht="12.75" customHeight="1" x14ac:dyDescent="0.25">
      <c r="A112" s="147">
        <v>4657</v>
      </c>
      <c r="B112" s="148">
        <v>50142222.439999998</v>
      </c>
      <c r="C112" s="144" t="s">
        <v>306</v>
      </c>
      <c r="E112" s="174"/>
    </row>
    <row r="113" spans="1:5" ht="12.75" customHeight="1" x14ac:dyDescent="0.25">
      <c r="A113" s="147">
        <v>4688</v>
      </c>
      <c r="B113" s="148">
        <v>50928969.520000003</v>
      </c>
      <c r="C113" s="144" t="s">
        <v>306</v>
      </c>
      <c r="E113" s="174"/>
    </row>
    <row r="114" spans="1:5" ht="12.75" customHeight="1" x14ac:dyDescent="0.25">
      <c r="A114" s="147">
        <v>4718</v>
      </c>
      <c r="B114" s="148">
        <v>52568315.729999997</v>
      </c>
      <c r="C114" s="144" t="s">
        <v>306</v>
      </c>
      <c r="E114" s="174"/>
    </row>
    <row r="115" spans="1:5" ht="12.75" customHeight="1" x14ac:dyDescent="0.25">
      <c r="A115" s="147">
        <v>4749</v>
      </c>
      <c r="B115" s="148">
        <v>52345816.57</v>
      </c>
      <c r="C115" s="144" t="s">
        <v>306</v>
      </c>
      <c r="E115" s="174"/>
    </row>
    <row r="116" spans="1:5" ht="12.75" customHeight="1" x14ac:dyDescent="0.25">
      <c r="A116" s="147">
        <v>4780</v>
      </c>
      <c r="B116" s="148">
        <v>52976443.939999998</v>
      </c>
      <c r="C116" s="144" t="s">
        <v>306</v>
      </c>
      <c r="E116" s="174"/>
    </row>
    <row r="117" spans="1:5" ht="12.75" customHeight="1" x14ac:dyDescent="0.25">
      <c r="A117" s="147">
        <v>4808</v>
      </c>
      <c r="B117" s="148">
        <v>53635935.729999997</v>
      </c>
      <c r="C117" s="144" t="s">
        <v>306</v>
      </c>
      <c r="E117" s="174"/>
    </row>
    <row r="118" spans="1:5" ht="12.75" customHeight="1" x14ac:dyDescent="0.25">
      <c r="A118" s="147">
        <v>4839</v>
      </c>
      <c r="B118" s="148">
        <v>53099171.979999997</v>
      </c>
      <c r="C118" s="144" t="s">
        <v>306</v>
      </c>
      <c r="E118" s="174"/>
    </row>
    <row r="119" spans="1:5" ht="12.75" customHeight="1" x14ac:dyDescent="0.25">
      <c r="A119" s="147">
        <v>4869</v>
      </c>
      <c r="B119" s="148">
        <v>53860423.799999997</v>
      </c>
      <c r="C119" s="144" t="s">
        <v>306</v>
      </c>
      <c r="E119" s="174"/>
    </row>
    <row r="120" spans="1:5" ht="12.75" customHeight="1" x14ac:dyDescent="0.25">
      <c r="A120" s="147">
        <v>4900</v>
      </c>
      <c r="B120" s="148">
        <v>54825152.189999998</v>
      </c>
      <c r="C120" s="144" t="s">
        <v>306</v>
      </c>
      <c r="E120" s="174"/>
    </row>
    <row r="121" spans="1:5" ht="12.75" customHeight="1" x14ac:dyDescent="0.25">
      <c r="A121" s="147">
        <v>4930</v>
      </c>
      <c r="B121" s="148">
        <v>52034388.719999999</v>
      </c>
      <c r="C121" s="144" t="s">
        <v>306</v>
      </c>
      <c r="E121" s="174"/>
    </row>
    <row r="122" spans="1:5" ht="12.75" customHeight="1" x14ac:dyDescent="0.25">
      <c r="A122" s="147">
        <v>4961</v>
      </c>
      <c r="B122" s="172"/>
      <c r="C122" s="173" t="s">
        <v>428</v>
      </c>
      <c r="E122" s="174"/>
    </row>
    <row r="123" spans="1:5" ht="12.75" customHeight="1" x14ac:dyDescent="0.25">
      <c r="A123" s="147">
        <v>4992</v>
      </c>
      <c r="B123" s="172"/>
      <c r="C123" s="173" t="s">
        <v>428</v>
      </c>
      <c r="E123" s="174"/>
    </row>
    <row r="124" spans="1:5" ht="12.75" customHeight="1" x14ac:dyDescent="0.25">
      <c r="A124" s="147">
        <v>5022</v>
      </c>
      <c r="B124" s="172"/>
      <c r="C124" s="173" t="s">
        <v>428</v>
      </c>
      <c r="E124" s="174"/>
    </row>
    <row r="125" spans="1:5" ht="12.75" customHeight="1" x14ac:dyDescent="0.25">
      <c r="A125" s="147">
        <v>5053</v>
      </c>
      <c r="B125" s="172"/>
      <c r="C125" s="173" t="s">
        <v>428</v>
      </c>
      <c r="E125" s="174"/>
    </row>
    <row r="126" spans="1:5" ht="12.75" customHeight="1" x14ac:dyDescent="0.25">
      <c r="A126" s="147">
        <v>5083</v>
      </c>
      <c r="B126" s="172"/>
      <c r="C126" s="173" t="s">
        <v>428</v>
      </c>
      <c r="E126" s="174"/>
    </row>
    <row r="127" spans="1:5" ht="12.75" customHeight="1" x14ac:dyDescent="0.25">
      <c r="A127" s="147">
        <v>5114</v>
      </c>
      <c r="B127" s="148">
        <v>50697252.780000001</v>
      </c>
      <c r="C127" s="144" t="s">
        <v>307</v>
      </c>
      <c r="E127" s="176"/>
    </row>
    <row r="128" spans="1:5" ht="12.75" customHeight="1" x14ac:dyDescent="0.25">
      <c r="A128" s="147">
        <v>5145</v>
      </c>
      <c r="B128" s="148">
        <v>50175001.090000004</v>
      </c>
      <c r="C128" s="144" t="s">
        <v>307</v>
      </c>
      <c r="E128" s="174"/>
    </row>
    <row r="129" spans="1:5" ht="12.75" customHeight="1" x14ac:dyDescent="0.25">
      <c r="A129" s="147">
        <v>5173</v>
      </c>
      <c r="B129" s="148">
        <v>51704849.189999998</v>
      </c>
      <c r="C129" s="144" t="s">
        <v>307</v>
      </c>
      <c r="E129" s="174"/>
    </row>
    <row r="130" spans="1:5" ht="12.75" customHeight="1" x14ac:dyDescent="0.25">
      <c r="A130" s="147">
        <v>5204</v>
      </c>
      <c r="B130" s="148">
        <v>52277960.939999998</v>
      </c>
      <c r="C130" s="144" t="s">
        <v>307</v>
      </c>
      <c r="E130" s="174"/>
    </row>
    <row r="131" spans="1:5" ht="12.75" customHeight="1" x14ac:dyDescent="0.25">
      <c r="A131" s="147">
        <v>5234</v>
      </c>
      <c r="B131" s="148">
        <v>52385090.770000003</v>
      </c>
      <c r="C131" s="144" t="s">
        <v>307</v>
      </c>
      <c r="E131" s="174"/>
    </row>
    <row r="132" spans="1:5" ht="12.75" customHeight="1" x14ac:dyDescent="0.25">
      <c r="A132" s="147">
        <v>5265</v>
      </c>
      <c r="B132" s="148">
        <v>53242329.460000001</v>
      </c>
      <c r="C132" s="144" t="s">
        <v>307</v>
      </c>
      <c r="E132" s="174"/>
    </row>
    <row r="133" spans="1:5" ht="12.75" customHeight="1" x14ac:dyDescent="0.25">
      <c r="A133" s="147">
        <v>5295</v>
      </c>
      <c r="B133" s="148">
        <v>53340534.130000003</v>
      </c>
      <c r="C133" s="144" t="s">
        <v>307</v>
      </c>
      <c r="E133" s="174"/>
    </row>
    <row r="134" spans="1:5" ht="12.75" customHeight="1" x14ac:dyDescent="0.25">
      <c r="A134" s="147">
        <v>5326</v>
      </c>
      <c r="B134" s="148">
        <v>53595026.439999998</v>
      </c>
      <c r="C134" s="144" t="s">
        <v>307</v>
      </c>
      <c r="E134" s="174"/>
    </row>
    <row r="135" spans="1:5" ht="12.75" customHeight="1" x14ac:dyDescent="0.25">
      <c r="A135" s="147">
        <v>5357</v>
      </c>
      <c r="B135" s="148">
        <v>54556747.280000001</v>
      </c>
      <c r="C135" s="144" t="s">
        <v>307</v>
      </c>
      <c r="E135" s="174"/>
    </row>
    <row r="136" spans="1:5" ht="12.75" customHeight="1" x14ac:dyDescent="0.25">
      <c r="A136" s="147">
        <v>5387</v>
      </c>
      <c r="B136" s="148">
        <v>54508692.729999997</v>
      </c>
      <c r="C136" s="144" t="s">
        <v>307</v>
      </c>
      <c r="E136" s="174"/>
    </row>
    <row r="137" spans="1:5" ht="12.75" customHeight="1" x14ac:dyDescent="0.25">
      <c r="A137" s="147">
        <v>5418</v>
      </c>
      <c r="B137" s="148">
        <v>54092917.289999999</v>
      </c>
      <c r="C137" s="144" t="s">
        <v>307</v>
      </c>
      <c r="E137" s="174"/>
    </row>
    <row r="138" spans="1:5" ht="12.75" customHeight="1" x14ac:dyDescent="0.25">
      <c r="A138" s="147">
        <v>5448</v>
      </c>
      <c r="B138" s="148">
        <v>52775586.560000002</v>
      </c>
      <c r="C138" s="144" t="s">
        <v>307</v>
      </c>
      <c r="E138" s="174"/>
    </row>
    <row r="139" spans="1:5" ht="12.75" customHeight="1" x14ac:dyDescent="0.25">
      <c r="A139" s="147">
        <v>5479</v>
      </c>
      <c r="B139" s="148">
        <v>52575117.740000002</v>
      </c>
      <c r="C139" s="144" t="s">
        <v>307</v>
      </c>
      <c r="E139" s="174"/>
    </row>
    <row r="140" spans="1:5" ht="12.75" customHeight="1" x14ac:dyDescent="0.25">
      <c r="A140" s="147">
        <v>5510</v>
      </c>
      <c r="B140" s="148">
        <v>53488083.170000002</v>
      </c>
      <c r="C140" s="144" t="s">
        <v>308</v>
      </c>
      <c r="E140" s="176"/>
    </row>
    <row r="141" spans="1:5" ht="12.75" customHeight="1" x14ac:dyDescent="0.25">
      <c r="A141" s="147">
        <v>5538</v>
      </c>
      <c r="B141" s="148">
        <v>53702852.189999998</v>
      </c>
      <c r="C141" s="144" t="s">
        <v>308</v>
      </c>
      <c r="E141" s="174"/>
    </row>
    <row r="142" spans="1:5" ht="12.75" customHeight="1" x14ac:dyDescent="0.25">
      <c r="A142" s="147">
        <v>5569</v>
      </c>
      <c r="B142" s="148">
        <v>54685863.899999999</v>
      </c>
      <c r="C142" s="144" t="s">
        <v>308</v>
      </c>
      <c r="E142" s="174"/>
    </row>
    <row r="143" spans="1:5" ht="12.75" customHeight="1" x14ac:dyDescent="0.25">
      <c r="A143" s="147">
        <v>5599</v>
      </c>
      <c r="B143" s="148">
        <v>54078509.210000001</v>
      </c>
      <c r="C143" s="144" t="s">
        <v>308</v>
      </c>
      <c r="E143" s="174"/>
    </row>
    <row r="144" spans="1:5" ht="12.75" customHeight="1" x14ac:dyDescent="0.25">
      <c r="A144" s="147">
        <v>5630</v>
      </c>
      <c r="B144" s="148">
        <v>54457185.770000003</v>
      </c>
      <c r="C144" s="144" t="s">
        <v>308</v>
      </c>
      <c r="E144" s="174"/>
    </row>
    <row r="145" spans="1:5" ht="12.75" customHeight="1" x14ac:dyDescent="0.25">
      <c r="A145" s="147">
        <v>5660</v>
      </c>
      <c r="B145" s="148">
        <v>52776072.380000003</v>
      </c>
      <c r="C145" s="144" t="s">
        <v>308</v>
      </c>
      <c r="E145" s="174"/>
    </row>
    <row r="146" spans="1:5" ht="12.75" customHeight="1" x14ac:dyDescent="0.25">
      <c r="A146" s="147">
        <v>5691</v>
      </c>
      <c r="B146" s="148">
        <v>50109694</v>
      </c>
      <c r="C146" s="144" t="s">
        <v>308</v>
      </c>
      <c r="E146" s="174"/>
    </row>
    <row r="147" spans="1:5" ht="12.75" customHeight="1" x14ac:dyDescent="0.25">
      <c r="A147" s="147">
        <v>5722</v>
      </c>
      <c r="B147" s="148">
        <v>49945190.57</v>
      </c>
      <c r="C147" s="144" t="s">
        <v>308</v>
      </c>
      <c r="E147" s="174"/>
    </row>
    <row r="148" spans="1:5" ht="12.75" customHeight="1" x14ac:dyDescent="0.25">
      <c r="A148" s="147">
        <v>5752</v>
      </c>
      <c r="B148" s="148">
        <v>49271579.229999997</v>
      </c>
      <c r="C148" s="144" t="s">
        <v>308</v>
      </c>
      <c r="E148" s="174"/>
    </row>
    <row r="149" spans="1:5" ht="12.75" customHeight="1" x14ac:dyDescent="0.25">
      <c r="A149" s="147">
        <v>5783</v>
      </c>
      <c r="B149" s="148">
        <v>49114911.299999997</v>
      </c>
      <c r="C149" s="144" t="s">
        <v>308</v>
      </c>
      <c r="E149" s="174"/>
    </row>
    <row r="150" spans="1:5" ht="12.75" customHeight="1" x14ac:dyDescent="0.25">
      <c r="A150" s="147">
        <v>5813</v>
      </c>
      <c r="B150" s="148">
        <v>50316954.390000001</v>
      </c>
      <c r="C150" s="144" t="s">
        <v>308</v>
      </c>
      <c r="E150" s="174"/>
    </row>
    <row r="151" spans="1:5" ht="12.75" customHeight="1" x14ac:dyDescent="0.25">
      <c r="A151" s="147">
        <v>5844</v>
      </c>
      <c r="B151" s="148">
        <v>51284906.759999998</v>
      </c>
      <c r="C151" s="144" t="s">
        <v>308</v>
      </c>
      <c r="E151" s="174"/>
    </row>
    <row r="152" spans="1:5" ht="12.75" customHeight="1" x14ac:dyDescent="0.25">
      <c r="A152" s="147">
        <v>5875</v>
      </c>
      <c r="B152" s="148">
        <v>53392306.82</v>
      </c>
      <c r="C152" s="144" t="s">
        <v>309</v>
      </c>
      <c r="E152" s="176"/>
    </row>
    <row r="153" spans="1:5" ht="12.75" customHeight="1" x14ac:dyDescent="0.25">
      <c r="A153" s="147">
        <v>5904</v>
      </c>
      <c r="B153" s="148">
        <v>53468979.950000003</v>
      </c>
      <c r="C153" s="144" t="s">
        <v>309</v>
      </c>
      <c r="E153" s="174"/>
    </row>
    <row r="154" spans="1:5" ht="12.75" customHeight="1" x14ac:dyDescent="0.25">
      <c r="A154" s="147">
        <v>5935</v>
      </c>
      <c r="B154" s="148">
        <v>54858810.369999997</v>
      </c>
      <c r="C154" s="144" t="s">
        <v>309</v>
      </c>
      <c r="E154" s="174"/>
    </row>
    <row r="155" spans="1:5" ht="12.75" customHeight="1" x14ac:dyDescent="0.25">
      <c r="A155" s="147">
        <v>5965</v>
      </c>
      <c r="B155" s="148">
        <v>57107316.380000003</v>
      </c>
      <c r="C155" s="144" t="s">
        <v>309</v>
      </c>
      <c r="E155" s="174"/>
    </row>
    <row r="156" spans="1:5" ht="12.75" customHeight="1" x14ac:dyDescent="0.25">
      <c r="A156" s="147">
        <v>5996</v>
      </c>
      <c r="B156" s="148">
        <v>59135026.07</v>
      </c>
      <c r="C156" s="144" t="s">
        <v>309</v>
      </c>
      <c r="E156" s="174"/>
    </row>
    <row r="157" spans="1:5" ht="12.75" customHeight="1" x14ac:dyDescent="0.25">
      <c r="A157" s="147">
        <v>6026</v>
      </c>
      <c r="B157" s="148">
        <v>61423624.369999997</v>
      </c>
      <c r="C157" s="144" t="s">
        <v>309</v>
      </c>
      <c r="E157" s="174"/>
    </row>
    <row r="158" spans="1:5" ht="12.75" customHeight="1" x14ac:dyDescent="0.25">
      <c r="A158" s="147">
        <v>6057</v>
      </c>
      <c r="B158" s="148">
        <v>62265994.82</v>
      </c>
      <c r="C158" s="144" t="s">
        <v>309</v>
      </c>
      <c r="E158" s="174"/>
    </row>
    <row r="159" spans="1:5" ht="12.75" customHeight="1" x14ac:dyDescent="0.25">
      <c r="A159" s="147">
        <v>6088</v>
      </c>
      <c r="B159" s="148">
        <v>63680198.100000001</v>
      </c>
      <c r="C159" s="144" t="s">
        <v>309</v>
      </c>
      <c r="E159" s="174"/>
    </row>
    <row r="160" spans="1:5" ht="12.75" customHeight="1" x14ac:dyDescent="0.25">
      <c r="A160" s="147">
        <v>6118</v>
      </c>
      <c r="B160" s="148">
        <v>65680886.340000004</v>
      </c>
      <c r="C160" s="144" t="s">
        <v>309</v>
      </c>
      <c r="E160" s="174"/>
    </row>
    <row r="161" spans="1:5" ht="12.75" customHeight="1" x14ac:dyDescent="0.25">
      <c r="A161" s="147">
        <v>6149</v>
      </c>
      <c r="B161" s="148">
        <v>66268560.159999996</v>
      </c>
      <c r="C161" s="144" t="s">
        <v>309</v>
      </c>
      <c r="E161" s="174"/>
    </row>
    <row r="162" spans="1:5" ht="12.75" customHeight="1" x14ac:dyDescent="0.25">
      <c r="A162" s="147">
        <v>6179</v>
      </c>
      <c r="B162" s="148">
        <v>66789280.729999997</v>
      </c>
      <c r="C162" s="144" t="s">
        <v>309</v>
      </c>
      <c r="E162" s="174"/>
    </row>
    <row r="163" spans="1:5" ht="12.75" customHeight="1" x14ac:dyDescent="0.25">
      <c r="A163" s="147">
        <v>6210</v>
      </c>
      <c r="B163" s="148">
        <v>67059189.039999999</v>
      </c>
      <c r="C163" s="144" t="s">
        <v>309</v>
      </c>
      <c r="E163" s="174"/>
    </row>
    <row r="164" spans="1:5" ht="12.75" customHeight="1" x14ac:dyDescent="0.25">
      <c r="A164" s="147">
        <v>6241</v>
      </c>
      <c r="B164" s="148">
        <v>67675572.510000005</v>
      </c>
      <c r="C164" s="144" t="s">
        <v>310</v>
      </c>
      <c r="E164" s="176"/>
    </row>
    <row r="165" spans="1:5" ht="12.75" customHeight="1" x14ac:dyDescent="0.25">
      <c r="A165" s="147">
        <v>6269</v>
      </c>
      <c r="B165" s="148">
        <v>68913214.790000007</v>
      </c>
      <c r="C165" s="144" t="s">
        <v>310</v>
      </c>
      <c r="E165" s="174"/>
    </row>
    <row r="166" spans="1:5" ht="12.75" customHeight="1" x14ac:dyDescent="0.25">
      <c r="A166" s="147">
        <v>6300</v>
      </c>
      <c r="B166" s="148">
        <v>70319674.659999996</v>
      </c>
      <c r="C166" s="144" t="s">
        <v>310</v>
      </c>
      <c r="E166" s="174"/>
    </row>
    <row r="167" spans="1:5" ht="12.75" customHeight="1" x14ac:dyDescent="0.25">
      <c r="A167" s="147">
        <v>6330</v>
      </c>
      <c r="B167" s="148">
        <v>74317897.159999996</v>
      </c>
      <c r="C167" s="144" t="s">
        <v>310</v>
      </c>
      <c r="E167" s="174"/>
    </row>
    <row r="168" spans="1:5" ht="12.75" customHeight="1" x14ac:dyDescent="0.25">
      <c r="A168" s="147">
        <v>6361</v>
      </c>
      <c r="B168" s="148">
        <v>80523722</v>
      </c>
      <c r="C168" s="144" t="s">
        <v>310</v>
      </c>
      <c r="E168" s="174"/>
    </row>
    <row r="169" spans="1:5" ht="12.75" customHeight="1" x14ac:dyDescent="0.25">
      <c r="A169" s="147">
        <v>6391</v>
      </c>
      <c r="B169" s="148">
        <v>85508996.799999997</v>
      </c>
      <c r="C169" s="144" t="s">
        <v>310</v>
      </c>
      <c r="E169" s="174"/>
    </row>
    <row r="170" spans="1:5" ht="12.75" customHeight="1" x14ac:dyDescent="0.25">
      <c r="A170" s="147">
        <v>6422</v>
      </c>
      <c r="B170" s="148">
        <v>89298793.030000001</v>
      </c>
      <c r="C170" s="144" t="s">
        <v>310</v>
      </c>
      <c r="E170" s="174"/>
    </row>
    <row r="171" spans="1:5" ht="12.75" customHeight="1" x14ac:dyDescent="0.25">
      <c r="A171" s="147">
        <v>6453</v>
      </c>
      <c r="B171" s="148">
        <v>93009723.75</v>
      </c>
      <c r="C171" s="144" t="s">
        <v>310</v>
      </c>
      <c r="E171" s="174"/>
    </row>
    <row r="172" spans="1:5" ht="12.75" customHeight="1" x14ac:dyDescent="0.25">
      <c r="A172" s="147">
        <v>6483</v>
      </c>
      <c r="B172" s="148">
        <v>96755101.209999993</v>
      </c>
      <c r="C172" s="144" t="s">
        <v>310</v>
      </c>
      <c r="E172" s="174"/>
    </row>
    <row r="173" spans="1:5" ht="12.75" customHeight="1" x14ac:dyDescent="0.25">
      <c r="A173" s="147">
        <v>6514</v>
      </c>
      <c r="B173" s="148">
        <v>98229443.760000005</v>
      </c>
      <c r="C173" s="144" t="s">
        <v>310</v>
      </c>
      <c r="E173" s="174"/>
    </row>
    <row r="174" spans="1:5" ht="12.75" customHeight="1" x14ac:dyDescent="0.25">
      <c r="A174" s="147">
        <v>6544</v>
      </c>
      <c r="B174" s="148">
        <v>101455060.58</v>
      </c>
      <c r="C174" s="144" t="s">
        <v>310</v>
      </c>
      <c r="E174" s="174"/>
    </row>
    <row r="175" spans="1:5" ht="12.75" customHeight="1" x14ac:dyDescent="0.25">
      <c r="A175" s="147">
        <v>6575</v>
      </c>
      <c r="B175" s="148">
        <v>102580313.56999999</v>
      </c>
      <c r="C175" s="144" t="s">
        <v>310</v>
      </c>
      <c r="E175" s="174"/>
    </row>
    <row r="176" spans="1:5" ht="12.75" customHeight="1" x14ac:dyDescent="0.25">
      <c r="A176" s="147">
        <v>6606</v>
      </c>
      <c r="B176" s="148">
        <v>102999709.53</v>
      </c>
      <c r="C176" s="144" t="s">
        <v>311</v>
      </c>
      <c r="E176" s="176"/>
    </row>
    <row r="177" spans="1:5" ht="12.75" customHeight="1" x14ac:dyDescent="0.25">
      <c r="A177" s="147">
        <v>6634</v>
      </c>
      <c r="B177" s="148">
        <v>107380426.67</v>
      </c>
      <c r="C177" s="144" t="s">
        <v>311</v>
      </c>
      <c r="E177" s="174"/>
    </row>
    <row r="178" spans="1:5" ht="12.75" customHeight="1" x14ac:dyDescent="0.25">
      <c r="A178" s="147">
        <v>6665</v>
      </c>
      <c r="B178" s="148">
        <v>112195683.84999999</v>
      </c>
      <c r="C178" s="144" t="s">
        <v>311</v>
      </c>
      <c r="E178" s="174"/>
    </row>
    <row r="179" spans="1:5" ht="12.75" customHeight="1" x14ac:dyDescent="0.25">
      <c r="A179" s="147">
        <v>6695</v>
      </c>
      <c r="B179" s="148">
        <v>116878165.11</v>
      </c>
      <c r="C179" s="144" t="s">
        <v>311</v>
      </c>
      <c r="E179" s="174"/>
    </row>
    <row r="180" spans="1:5" ht="12.75" customHeight="1" x14ac:dyDescent="0.25">
      <c r="A180" s="147">
        <v>6726</v>
      </c>
      <c r="B180" s="148">
        <v>118838711.64</v>
      </c>
      <c r="C180" s="144" t="s">
        <v>311</v>
      </c>
      <c r="E180" s="174"/>
    </row>
    <row r="181" spans="1:5" ht="12.75" customHeight="1" x14ac:dyDescent="0.25">
      <c r="A181" s="147">
        <v>6756</v>
      </c>
      <c r="B181" s="148">
        <v>122671957.54000001</v>
      </c>
      <c r="C181" s="144" t="s">
        <v>311</v>
      </c>
      <c r="E181" s="174"/>
    </row>
    <row r="182" spans="1:5" ht="12.75" customHeight="1" x14ac:dyDescent="0.25">
      <c r="A182" s="147">
        <v>6787</v>
      </c>
      <c r="B182" s="148">
        <v>123529124.72</v>
      </c>
      <c r="C182" s="144" t="s">
        <v>311</v>
      </c>
      <c r="E182" s="174"/>
    </row>
    <row r="183" spans="1:5" ht="12.75" customHeight="1" x14ac:dyDescent="0.25">
      <c r="A183" s="147">
        <v>6818</v>
      </c>
      <c r="B183" s="148">
        <v>126208778.59999999</v>
      </c>
      <c r="C183" s="144" t="s">
        <v>311</v>
      </c>
      <c r="E183" s="174"/>
    </row>
    <row r="184" spans="1:5" ht="12.75" customHeight="1" x14ac:dyDescent="0.25">
      <c r="A184" s="147">
        <v>6848</v>
      </c>
      <c r="B184" s="148">
        <v>125418462.59999999</v>
      </c>
      <c r="C184" s="144" t="s">
        <v>311</v>
      </c>
      <c r="E184" s="174"/>
    </row>
    <row r="185" spans="1:5" ht="12.75" customHeight="1" x14ac:dyDescent="0.25">
      <c r="A185" s="147">
        <v>6879</v>
      </c>
      <c r="B185" s="148">
        <v>126544966.2</v>
      </c>
      <c r="C185" s="144" t="s">
        <v>311</v>
      </c>
      <c r="E185" s="174"/>
    </row>
    <row r="186" spans="1:5" ht="12.75" customHeight="1" x14ac:dyDescent="0.25">
      <c r="A186" s="147">
        <v>6909</v>
      </c>
      <c r="B186" s="148">
        <v>131670381.48</v>
      </c>
      <c r="C186" s="144" t="s">
        <v>311</v>
      </c>
      <c r="E186" s="174"/>
    </row>
    <row r="187" spans="1:5" ht="12.75" customHeight="1" x14ac:dyDescent="0.25">
      <c r="A187" s="147">
        <v>6940</v>
      </c>
      <c r="B187" s="148">
        <v>131151883.03</v>
      </c>
      <c r="C187" s="144" t="s">
        <v>311</v>
      </c>
      <c r="E187" s="174"/>
    </row>
    <row r="188" spans="1:5" ht="12.75" customHeight="1" x14ac:dyDescent="0.25">
      <c r="A188" s="147">
        <v>6971</v>
      </c>
      <c r="B188" s="148">
        <v>129681204.17</v>
      </c>
      <c r="C188" s="144" t="s">
        <v>312</v>
      </c>
      <c r="E188" s="176"/>
    </row>
    <row r="189" spans="1:5" ht="12.75" customHeight="1" x14ac:dyDescent="0.25">
      <c r="A189" s="147">
        <v>6999</v>
      </c>
      <c r="B189" s="148">
        <v>131387478.27</v>
      </c>
      <c r="C189" s="144" t="s">
        <v>312</v>
      </c>
      <c r="E189" s="174"/>
    </row>
    <row r="190" spans="1:5" ht="12.75" customHeight="1" x14ac:dyDescent="0.25">
      <c r="A190" s="147">
        <v>7030</v>
      </c>
      <c r="B190" s="148">
        <v>131387179.22</v>
      </c>
      <c r="C190" s="144" t="s">
        <v>312</v>
      </c>
      <c r="E190" s="174"/>
    </row>
    <row r="191" spans="1:5" ht="12.75" customHeight="1" x14ac:dyDescent="0.25">
      <c r="A191" s="147">
        <v>7060</v>
      </c>
      <c r="B191" s="148">
        <v>133141460.79000001</v>
      </c>
      <c r="C191" s="144" t="s">
        <v>312</v>
      </c>
      <c r="E191" s="174"/>
    </row>
    <row r="192" spans="1:5" ht="12.75" customHeight="1" x14ac:dyDescent="0.25">
      <c r="A192" s="147">
        <v>7091</v>
      </c>
      <c r="B192" s="148">
        <v>131210925.88</v>
      </c>
      <c r="C192" s="144" t="s">
        <v>312</v>
      </c>
      <c r="E192" s="174"/>
    </row>
    <row r="193" spans="1:5" ht="12.75" customHeight="1" x14ac:dyDescent="0.25">
      <c r="A193" s="147">
        <v>7121</v>
      </c>
      <c r="B193" s="148">
        <v>133400363.25</v>
      </c>
      <c r="C193" s="144" t="s">
        <v>312</v>
      </c>
      <c r="E193" s="174"/>
    </row>
    <row r="194" spans="1:5" ht="12.75" customHeight="1" x14ac:dyDescent="0.25">
      <c r="A194" s="147">
        <v>7152</v>
      </c>
      <c r="B194" s="148">
        <v>134299463.33000001</v>
      </c>
      <c r="C194" s="144" t="s">
        <v>312</v>
      </c>
      <c r="E194" s="174"/>
    </row>
    <row r="195" spans="1:5" ht="12.75" customHeight="1" x14ac:dyDescent="0.25">
      <c r="A195" s="147">
        <v>7183</v>
      </c>
      <c r="B195" s="148">
        <v>136674619.38</v>
      </c>
      <c r="C195" s="144" t="s">
        <v>312</v>
      </c>
      <c r="E195" s="174"/>
    </row>
    <row r="196" spans="1:5" ht="12.75" customHeight="1" x14ac:dyDescent="0.25">
      <c r="A196" s="147">
        <v>7213</v>
      </c>
      <c r="B196" s="148">
        <v>137895791.86000001</v>
      </c>
      <c r="C196" s="144" t="s">
        <v>312</v>
      </c>
      <c r="E196" s="174"/>
    </row>
    <row r="197" spans="1:5" ht="12.75" customHeight="1" x14ac:dyDescent="0.25">
      <c r="A197" s="147">
        <v>7244</v>
      </c>
      <c r="B197" s="148">
        <v>138476976.68000001</v>
      </c>
      <c r="C197" s="144" t="s">
        <v>312</v>
      </c>
      <c r="E197" s="174"/>
    </row>
    <row r="198" spans="1:5" ht="12.75" customHeight="1" x14ac:dyDescent="0.25">
      <c r="A198" s="147">
        <v>7274</v>
      </c>
      <c r="B198" s="148">
        <v>141013095.84</v>
      </c>
      <c r="C198" s="144" t="s">
        <v>312</v>
      </c>
      <c r="E198" s="174"/>
    </row>
    <row r="199" spans="1:5" ht="12.75" customHeight="1" x14ac:dyDescent="0.25">
      <c r="A199" s="147">
        <v>7305</v>
      </c>
      <c r="B199" s="148">
        <v>146576956.11000001</v>
      </c>
      <c r="C199" s="144" t="s">
        <v>312</v>
      </c>
      <c r="E199" s="174"/>
    </row>
    <row r="200" spans="1:5" ht="12.75" customHeight="1" x14ac:dyDescent="0.25">
      <c r="A200" s="147">
        <v>7336</v>
      </c>
      <c r="B200" s="148">
        <v>146954517.78999999</v>
      </c>
      <c r="C200" s="144" t="s">
        <v>313</v>
      </c>
      <c r="E200" s="176"/>
    </row>
    <row r="201" spans="1:5" ht="12.75" customHeight="1" x14ac:dyDescent="0.25">
      <c r="A201" s="147">
        <v>7365</v>
      </c>
      <c r="B201" s="148">
        <v>152518161.40000001</v>
      </c>
      <c r="C201" s="144" t="s">
        <v>313</v>
      </c>
      <c r="E201" s="174"/>
    </row>
    <row r="202" spans="1:5" ht="12.75" customHeight="1" x14ac:dyDescent="0.25">
      <c r="A202" s="147">
        <v>7396</v>
      </c>
      <c r="B202" s="148">
        <v>158883737.53</v>
      </c>
      <c r="C202" s="144" t="s">
        <v>313</v>
      </c>
      <c r="E202" s="174"/>
    </row>
    <row r="203" spans="1:5" ht="12.75" customHeight="1" x14ac:dyDescent="0.25">
      <c r="A203" s="147">
        <v>7426</v>
      </c>
      <c r="B203" s="148">
        <v>160306332.69999999</v>
      </c>
      <c r="C203" s="144" t="s">
        <v>313</v>
      </c>
      <c r="E203" s="174"/>
    </row>
    <row r="204" spans="1:5" ht="12.75" customHeight="1" x14ac:dyDescent="0.25">
      <c r="A204" s="147">
        <v>7457</v>
      </c>
      <c r="B204" s="148">
        <v>163459595.93000001</v>
      </c>
      <c r="C204" s="144" t="s">
        <v>313</v>
      </c>
      <c r="E204" s="174"/>
    </row>
    <row r="205" spans="1:5" ht="12.75" customHeight="1" x14ac:dyDescent="0.25">
      <c r="A205" s="147">
        <v>7487</v>
      </c>
      <c r="B205" s="148">
        <v>162459595.93000001</v>
      </c>
      <c r="C205" s="144" t="s">
        <v>313</v>
      </c>
      <c r="E205" s="174"/>
    </row>
    <row r="206" spans="1:5" ht="12.75" customHeight="1" x14ac:dyDescent="0.25">
      <c r="A206" s="147">
        <v>7518</v>
      </c>
      <c r="B206" s="148">
        <v>152563032.87</v>
      </c>
      <c r="C206" s="144" t="s">
        <v>313</v>
      </c>
      <c r="E206" s="174"/>
    </row>
    <row r="207" spans="1:5" ht="12.75" customHeight="1" x14ac:dyDescent="0.25">
      <c r="A207" s="147">
        <v>7549</v>
      </c>
      <c r="B207" s="148">
        <v>145913989.74000001</v>
      </c>
      <c r="C207" s="144" t="s">
        <v>313</v>
      </c>
      <c r="E207" s="174"/>
    </row>
    <row r="208" spans="1:5" ht="12.75" customHeight="1" x14ac:dyDescent="0.25">
      <c r="A208" s="147">
        <v>7579</v>
      </c>
      <c r="B208" s="148">
        <v>140454614.27000001</v>
      </c>
      <c r="C208" s="144" t="s">
        <v>313</v>
      </c>
      <c r="E208" s="174"/>
    </row>
    <row r="209" spans="1:5" ht="12.75" customHeight="1" x14ac:dyDescent="0.25">
      <c r="A209" s="147">
        <v>7610</v>
      </c>
      <c r="B209" s="148">
        <v>136458871.97999999</v>
      </c>
      <c r="C209" s="144" t="s">
        <v>313</v>
      </c>
      <c r="E209" s="174"/>
    </row>
    <row r="210" spans="1:5" ht="12.75" customHeight="1" x14ac:dyDescent="0.25">
      <c r="A210" s="147">
        <v>7640</v>
      </c>
      <c r="B210" s="148">
        <v>129406852.67</v>
      </c>
      <c r="C210" s="144" t="s">
        <v>313</v>
      </c>
      <c r="E210" s="174"/>
    </row>
    <row r="211" spans="1:5" ht="12.75" customHeight="1" x14ac:dyDescent="0.25">
      <c r="A211" s="147">
        <v>7671</v>
      </c>
      <c r="B211" s="148">
        <v>124589239.63</v>
      </c>
      <c r="C211" s="144" t="s">
        <v>313</v>
      </c>
      <c r="E211" s="174"/>
    </row>
    <row r="212" spans="1:5" ht="12.75" customHeight="1" x14ac:dyDescent="0.25">
      <c r="A212" s="147">
        <v>7702</v>
      </c>
      <c r="B212" s="148">
        <v>126009780.97</v>
      </c>
      <c r="C212" s="144" t="s">
        <v>314</v>
      </c>
      <c r="E212" s="176"/>
    </row>
    <row r="213" spans="1:5" ht="12.75" customHeight="1" x14ac:dyDescent="0.25">
      <c r="A213" s="147">
        <v>7730</v>
      </c>
      <c r="B213" s="148">
        <v>115969100.77</v>
      </c>
      <c r="C213" s="144" t="s">
        <v>314</v>
      </c>
      <c r="E213" s="174"/>
    </row>
    <row r="214" spans="1:5" ht="12.75" customHeight="1" x14ac:dyDescent="0.25">
      <c r="A214" s="147">
        <v>7761</v>
      </c>
      <c r="B214" s="148">
        <v>119217814.55</v>
      </c>
      <c r="C214" s="144" t="s">
        <v>314</v>
      </c>
      <c r="E214" s="174"/>
    </row>
    <row r="215" spans="1:5" ht="12.75" customHeight="1" x14ac:dyDescent="0.25">
      <c r="A215" s="147">
        <v>7791</v>
      </c>
      <c r="B215" s="148">
        <v>116116354.73</v>
      </c>
      <c r="C215" s="144" t="s">
        <v>314</v>
      </c>
      <c r="E215" s="174"/>
    </row>
    <row r="216" spans="1:5" ht="12.75" customHeight="1" x14ac:dyDescent="0.25">
      <c r="A216" s="147">
        <v>7822</v>
      </c>
      <c r="B216" s="148">
        <v>115909045.59</v>
      </c>
      <c r="C216" s="144" t="s">
        <v>314</v>
      </c>
      <c r="E216" s="174"/>
    </row>
    <row r="217" spans="1:5" ht="12.75" customHeight="1" x14ac:dyDescent="0.25">
      <c r="A217" s="147">
        <v>7852</v>
      </c>
      <c r="B217" s="148">
        <v>113363496.69</v>
      </c>
      <c r="C217" s="144" t="s">
        <v>314</v>
      </c>
      <c r="E217" s="174"/>
    </row>
    <row r="218" spans="1:5" ht="12.75" customHeight="1" x14ac:dyDescent="0.25">
      <c r="A218" s="147">
        <v>7883</v>
      </c>
      <c r="B218" s="148">
        <v>111547940.84</v>
      </c>
      <c r="C218" s="144" t="s">
        <v>314</v>
      </c>
      <c r="E218" s="174"/>
    </row>
    <row r="219" spans="1:5" ht="12.75" customHeight="1" x14ac:dyDescent="0.25">
      <c r="A219" s="147">
        <v>7914</v>
      </c>
      <c r="B219" s="148">
        <v>107853057.06999999</v>
      </c>
      <c r="C219" s="144" t="s">
        <v>314</v>
      </c>
      <c r="E219" s="174"/>
    </row>
    <row r="220" spans="1:5" ht="12.75" customHeight="1" x14ac:dyDescent="0.25">
      <c r="A220" s="147">
        <v>7944</v>
      </c>
      <c r="B220" s="148">
        <v>105808207.81999999</v>
      </c>
      <c r="C220" s="144" t="s">
        <v>314</v>
      </c>
      <c r="E220" s="174"/>
    </row>
    <row r="221" spans="1:5" ht="12.75" customHeight="1" x14ac:dyDescent="0.25">
      <c r="A221" s="147">
        <v>7975</v>
      </c>
      <c r="B221" s="148">
        <v>103940952.15000001</v>
      </c>
      <c r="C221" s="144" t="s">
        <v>314</v>
      </c>
      <c r="E221" s="174"/>
    </row>
    <row r="222" spans="1:5" ht="12.75" customHeight="1" x14ac:dyDescent="0.25">
      <c r="A222" s="147">
        <v>8005</v>
      </c>
      <c r="B222" s="148">
        <v>102792487.69</v>
      </c>
      <c r="C222" s="144" t="s">
        <v>314</v>
      </c>
      <c r="E222" s="174"/>
    </row>
    <row r="223" spans="1:5" ht="12.75" customHeight="1" x14ac:dyDescent="0.25">
      <c r="A223" s="147">
        <v>8036</v>
      </c>
      <c r="B223" s="148">
        <v>103661819.5</v>
      </c>
      <c r="C223" s="144" t="s">
        <v>314</v>
      </c>
      <c r="E223" s="174"/>
    </row>
    <row r="224" spans="1:5" ht="12.75" customHeight="1" x14ac:dyDescent="0.25">
      <c r="A224" s="147">
        <v>8067</v>
      </c>
      <c r="B224" s="148">
        <v>101023995.48</v>
      </c>
      <c r="C224" s="144" t="s">
        <v>315</v>
      </c>
      <c r="E224" s="176"/>
    </row>
    <row r="225" spans="1:5" ht="12.75" customHeight="1" x14ac:dyDescent="0.25">
      <c r="A225" s="147">
        <v>8095</v>
      </c>
      <c r="B225" s="148">
        <v>101374416.37</v>
      </c>
      <c r="C225" s="144" t="s">
        <v>315</v>
      </c>
      <c r="E225" s="174"/>
    </row>
    <row r="226" spans="1:5" ht="12.75" customHeight="1" x14ac:dyDescent="0.25">
      <c r="A226" s="147">
        <v>8126</v>
      </c>
      <c r="B226" s="148">
        <v>100794845.27</v>
      </c>
      <c r="C226" s="144" t="s">
        <v>315</v>
      </c>
      <c r="E226" s="174"/>
    </row>
    <row r="227" spans="1:5" ht="12.75" customHeight="1" x14ac:dyDescent="0.25">
      <c r="A227" s="147">
        <v>8156</v>
      </c>
      <c r="B227" s="148">
        <v>100353534.42</v>
      </c>
      <c r="C227" s="144" t="s">
        <v>315</v>
      </c>
      <c r="E227" s="174"/>
    </row>
    <row r="228" spans="1:5" ht="12.75" customHeight="1" x14ac:dyDescent="0.25">
      <c r="A228" s="147">
        <v>8187</v>
      </c>
      <c r="B228" s="148">
        <v>99974603.109999999</v>
      </c>
      <c r="C228" s="144" t="s">
        <v>315</v>
      </c>
      <c r="E228" s="174"/>
    </row>
    <row r="229" spans="1:5" ht="12.75" customHeight="1" x14ac:dyDescent="0.25">
      <c r="A229" s="147">
        <v>8217</v>
      </c>
      <c r="B229" s="148">
        <v>99714323.730000004</v>
      </c>
      <c r="C229" s="144" t="s">
        <v>315</v>
      </c>
      <c r="E229" s="174"/>
    </row>
    <row r="230" spans="1:5" ht="12.75" customHeight="1" x14ac:dyDescent="0.25">
      <c r="A230" s="147">
        <v>8248</v>
      </c>
      <c r="B230" s="148">
        <v>97151308.609999999</v>
      </c>
      <c r="C230" s="144" t="s">
        <v>315</v>
      </c>
      <c r="E230" s="174"/>
    </row>
    <row r="231" spans="1:5" ht="12.75" customHeight="1" x14ac:dyDescent="0.25">
      <c r="A231" s="147">
        <v>8279</v>
      </c>
      <c r="B231" s="148">
        <v>96934303.420000002</v>
      </c>
      <c r="C231" s="144" t="s">
        <v>315</v>
      </c>
      <c r="E231" s="174"/>
    </row>
    <row r="232" spans="1:5" ht="12.75" customHeight="1" x14ac:dyDescent="0.25">
      <c r="A232" s="147">
        <v>8309</v>
      </c>
      <c r="B232" s="148">
        <v>98934303.420000002</v>
      </c>
      <c r="C232" s="144" t="s">
        <v>315</v>
      </c>
      <c r="E232" s="174"/>
    </row>
    <row r="233" spans="1:5" ht="12.75" customHeight="1" x14ac:dyDescent="0.25">
      <c r="A233" s="147">
        <v>8340</v>
      </c>
      <c r="B233" s="148">
        <v>96506404.564999998</v>
      </c>
      <c r="C233" s="144" t="s">
        <v>315</v>
      </c>
      <c r="E233" s="174"/>
    </row>
    <row r="234" spans="1:5" ht="12.75" customHeight="1" x14ac:dyDescent="0.25">
      <c r="A234" s="147">
        <v>8370</v>
      </c>
      <c r="B234" s="148">
        <v>97777406.305000007</v>
      </c>
      <c r="C234" s="144" t="s">
        <v>315</v>
      </c>
      <c r="E234" s="174"/>
    </row>
    <row r="235" spans="1:5" ht="12.75" customHeight="1" x14ac:dyDescent="0.25">
      <c r="A235" s="147">
        <v>8401</v>
      </c>
      <c r="B235" s="148">
        <v>97217467.694999993</v>
      </c>
      <c r="C235" s="144" t="s">
        <v>315</v>
      </c>
      <c r="E235" s="174"/>
    </row>
    <row r="236" spans="1:5" ht="12.75" customHeight="1" x14ac:dyDescent="0.25">
      <c r="A236" s="147">
        <v>8432</v>
      </c>
      <c r="B236" s="148">
        <v>96285689.944999993</v>
      </c>
      <c r="C236" s="144" t="s">
        <v>316</v>
      </c>
      <c r="E236" s="176"/>
    </row>
    <row r="237" spans="1:5" ht="12.75" customHeight="1" x14ac:dyDescent="0.25">
      <c r="A237" s="147">
        <v>8460</v>
      </c>
      <c r="B237" s="148">
        <v>97425504.805000007</v>
      </c>
      <c r="C237" s="144" t="s">
        <v>316</v>
      </c>
      <c r="E237" s="174"/>
    </row>
    <row r="238" spans="1:5" ht="12.75" customHeight="1" x14ac:dyDescent="0.25">
      <c r="A238" s="147">
        <v>8491</v>
      </c>
      <c r="B238" s="148">
        <v>104110430.545</v>
      </c>
      <c r="C238" s="144" t="s">
        <v>316</v>
      </c>
      <c r="E238" s="174"/>
    </row>
    <row r="239" spans="1:5" ht="12.75" customHeight="1" x14ac:dyDescent="0.25">
      <c r="A239" s="147">
        <v>8521</v>
      </c>
      <c r="B239" s="148">
        <v>106891168.09</v>
      </c>
      <c r="C239" s="144" t="s">
        <v>316</v>
      </c>
      <c r="E239" s="174"/>
    </row>
    <row r="240" spans="1:5" ht="12.75" customHeight="1" x14ac:dyDescent="0.25">
      <c r="A240" s="147">
        <v>8552</v>
      </c>
      <c r="B240" s="148">
        <v>108159694.51000001</v>
      </c>
      <c r="C240" s="144" t="s">
        <v>316</v>
      </c>
      <c r="E240" s="174"/>
    </row>
    <row r="241" spans="1:5" ht="12.75" customHeight="1" x14ac:dyDescent="0.25">
      <c r="A241" s="147">
        <v>8582</v>
      </c>
      <c r="B241" s="148">
        <v>107138113.33</v>
      </c>
      <c r="C241" s="144" t="s">
        <v>316</v>
      </c>
      <c r="E241" s="174"/>
    </row>
    <row r="242" spans="1:5" ht="12.75" customHeight="1" x14ac:dyDescent="0.25">
      <c r="A242" s="147">
        <v>8613</v>
      </c>
      <c r="B242" s="148">
        <v>106613922.66</v>
      </c>
      <c r="C242" s="144" t="s">
        <v>316</v>
      </c>
      <c r="E242" s="174"/>
    </row>
    <row r="243" spans="1:5" ht="12.75" customHeight="1" x14ac:dyDescent="0.25">
      <c r="A243" s="147">
        <v>8644</v>
      </c>
      <c r="B243" s="148">
        <v>108272114.89</v>
      </c>
      <c r="C243" s="144" t="s">
        <v>316</v>
      </c>
      <c r="E243" s="174"/>
    </row>
    <row r="244" spans="1:5" ht="12.75" customHeight="1" x14ac:dyDescent="0.25">
      <c r="A244" s="147">
        <v>8674</v>
      </c>
      <c r="B244" s="148">
        <v>108948532.97</v>
      </c>
      <c r="C244" s="144" t="s">
        <v>316</v>
      </c>
      <c r="E244" s="174"/>
    </row>
    <row r="245" spans="1:5" ht="12.75" customHeight="1" x14ac:dyDescent="0.25">
      <c r="A245" s="147">
        <v>8705</v>
      </c>
      <c r="B245" s="148">
        <v>108039556.16</v>
      </c>
      <c r="C245" s="144" t="s">
        <v>316</v>
      </c>
      <c r="E245" s="174"/>
    </row>
    <row r="246" spans="1:5" ht="12.75" customHeight="1" x14ac:dyDescent="0.25">
      <c r="A246" s="147">
        <v>8735</v>
      </c>
      <c r="B246" s="148">
        <v>109337754.51000001</v>
      </c>
      <c r="C246" s="144" t="s">
        <v>316</v>
      </c>
      <c r="E246" s="174"/>
    </row>
    <row r="247" spans="1:5" ht="12.75" customHeight="1" x14ac:dyDescent="0.25">
      <c r="A247" s="147">
        <v>8766</v>
      </c>
      <c r="B247" s="148">
        <v>110389333.56</v>
      </c>
      <c r="C247" s="144" t="s">
        <v>316</v>
      </c>
      <c r="E247" s="174"/>
    </row>
    <row r="248" spans="1:5" ht="12.75" customHeight="1" x14ac:dyDescent="0.25">
      <c r="A248" s="147">
        <v>8797</v>
      </c>
      <c r="B248" s="148">
        <v>111710456.33</v>
      </c>
      <c r="C248" s="144" t="s">
        <v>317</v>
      </c>
      <c r="E248" s="176"/>
    </row>
    <row r="249" spans="1:5" ht="12.75" customHeight="1" x14ac:dyDescent="0.25">
      <c r="A249" s="147">
        <v>8826</v>
      </c>
      <c r="B249" s="148">
        <v>114783289.66</v>
      </c>
      <c r="C249" s="144" t="s">
        <v>317</v>
      </c>
      <c r="E249" s="174"/>
    </row>
    <row r="250" spans="1:5" ht="12.75" customHeight="1" x14ac:dyDescent="0.25">
      <c r="A250" s="147">
        <v>8857</v>
      </c>
      <c r="B250" s="148">
        <v>118252419.04000001</v>
      </c>
      <c r="C250" s="144" t="s">
        <v>317</v>
      </c>
      <c r="E250" s="174"/>
    </row>
    <row r="251" spans="1:5" ht="12.75" customHeight="1" x14ac:dyDescent="0.25">
      <c r="A251" s="147">
        <v>8887</v>
      </c>
      <c r="B251" s="148">
        <v>118305839.18000001</v>
      </c>
      <c r="C251" s="144" t="s">
        <v>317</v>
      </c>
      <c r="E251" s="174"/>
    </row>
    <row r="252" spans="1:5" ht="12.75" customHeight="1" x14ac:dyDescent="0.25">
      <c r="A252" s="147">
        <v>8918</v>
      </c>
      <c r="B252" s="148">
        <v>119389782.62</v>
      </c>
      <c r="C252" s="144" t="s">
        <v>317</v>
      </c>
      <c r="E252" s="174"/>
    </row>
    <row r="253" spans="1:5" ht="12.75" customHeight="1" x14ac:dyDescent="0.25">
      <c r="A253" s="147">
        <v>8948</v>
      </c>
      <c r="B253" s="148">
        <v>114732857.34999999</v>
      </c>
      <c r="C253" s="144" t="s">
        <v>317</v>
      </c>
      <c r="E253" s="174"/>
    </row>
    <row r="254" spans="1:5" ht="12.75" customHeight="1" x14ac:dyDescent="0.25">
      <c r="A254" s="147">
        <v>8979</v>
      </c>
      <c r="B254" s="148">
        <v>112997944.40000001</v>
      </c>
      <c r="C254" s="144" t="s">
        <v>317</v>
      </c>
      <c r="E254" s="174"/>
    </row>
    <row r="255" spans="1:5" ht="12.75" customHeight="1" x14ac:dyDescent="0.25">
      <c r="A255" s="147">
        <v>9010</v>
      </c>
      <c r="B255" s="148">
        <v>114889306.31999999</v>
      </c>
      <c r="C255" s="144" t="s">
        <v>317</v>
      </c>
      <c r="E255" s="174"/>
    </row>
    <row r="256" spans="1:5" ht="12.75" customHeight="1" x14ac:dyDescent="0.25">
      <c r="A256" s="147">
        <v>9040</v>
      </c>
      <c r="B256" s="148">
        <v>117192178.05</v>
      </c>
      <c r="C256" s="144" t="s">
        <v>317</v>
      </c>
      <c r="E256" s="174"/>
    </row>
    <row r="257" spans="1:5" ht="12.75" customHeight="1" x14ac:dyDescent="0.25">
      <c r="A257" s="147">
        <v>9071</v>
      </c>
      <c r="B257" s="148">
        <v>119432934.62</v>
      </c>
      <c r="C257" s="144" t="s">
        <v>317</v>
      </c>
      <c r="E257" s="174"/>
    </row>
    <row r="258" spans="1:5" ht="12.75" customHeight="1" x14ac:dyDescent="0.25">
      <c r="A258" s="147">
        <v>9101</v>
      </c>
      <c r="B258" s="148">
        <v>124671216.28</v>
      </c>
      <c r="C258" s="144" t="s">
        <v>317</v>
      </c>
      <c r="E258" s="174"/>
    </row>
    <row r="259" spans="1:5" ht="12.75" customHeight="1" x14ac:dyDescent="0.25">
      <c r="A259" s="147">
        <v>9132</v>
      </c>
      <c r="B259" s="148">
        <v>123979980.69</v>
      </c>
      <c r="C259" s="144" t="s">
        <v>317</v>
      </c>
      <c r="E259" s="174"/>
    </row>
    <row r="260" spans="1:5" ht="12.75" customHeight="1" x14ac:dyDescent="0.25">
      <c r="A260" s="147">
        <v>9163</v>
      </c>
      <c r="B260" s="148">
        <v>125074659.7</v>
      </c>
      <c r="C260" s="144" t="s">
        <v>318</v>
      </c>
      <c r="E260" s="176"/>
    </row>
    <row r="261" spans="1:5" ht="12.75" customHeight="1" x14ac:dyDescent="0.25">
      <c r="A261" s="147">
        <v>9191</v>
      </c>
      <c r="B261" s="148">
        <v>126848272.81</v>
      </c>
      <c r="C261" s="144" t="s">
        <v>318</v>
      </c>
      <c r="E261" s="174"/>
    </row>
    <row r="262" spans="1:5" ht="12.75" customHeight="1" x14ac:dyDescent="0.25">
      <c r="A262" s="147">
        <v>9222</v>
      </c>
      <c r="B262" s="148">
        <v>128890658.16</v>
      </c>
      <c r="C262" s="144" t="s">
        <v>318</v>
      </c>
      <c r="E262" s="174"/>
    </row>
    <row r="263" spans="1:5" ht="12.75" customHeight="1" x14ac:dyDescent="0.25">
      <c r="A263" s="147">
        <v>9252</v>
      </c>
      <c r="B263" s="148">
        <v>127291166.405</v>
      </c>
      <c r="C263" s="144" t="s">
        <v>318</v>
      </c>
      <c r="E263" s="174"/>
    </row>
    <row r="264" spans="1:5" ht="12.75" customHeight="1" x14ac:dyDescent="0.25">
      <c r="A264" s="147">
        <v>9283</v>
      </c>
      <c r="B264" s="148">
        <v>127120551.015</v>
      </c>
      <c r="C264" s="144" t="s">
        <v>318</v>
      </c>
      <c r="E264" s="174"/>
    </row>
    <row r="265" spans="1:5" ht="12.75" customHeight="1" x14ac:dyDescent="0.25">
      <c r="A265" s="147">
        <v>9313</v>
      </c>
      <c r="B265" s="148">
        <v>126005069.86499999</v>
      </c>
      <c r="C265" s="144" t="s">
        <v>318</v>
      </c>
      <c r="E265" s="174"/>
    </row>
    <row r="266" spans="1:5" ht="12.75" customHeight="1" x14ac:dyDescent="0.25">
      <c r="A266" s="147">
        <v>9344</v>
      </c>
      <c r="B266" s="148">
        <v>126600192.455</v>
      </c>
      <c r="C266" s="144" t="s">
        <v>318</v>
      </c>
      <c r="E266" s="174"/>
    </row>
    <row r="267" spans="1:5" ht="12.75" customHeight="1" x14ac:dyDescent="0.25">
      <c r="A267" s="147">
        <v>9375</v>
      </c>
      <c r="B267" s="148">
        <v>128770014.205</v>
      </c>
      <c r="C267" s="144" t="s">
        <v>318</v>
      </c>
      <c r="E267" s="174"/>
    </row>
    <row r="268" spans="1:5" ht="12.75" customHeight="1" x14ac:dyDescent="0.25">
      <c r="A268" s="147">
        <v>9405</v>
      </c>
      <c r="B268" s="148">
        <v>129460868.745</v>
      </c>
      <c r="C268" s="144" t="s">
        <v>318</v>
      </c>
      <c r="E268" s="174"/>
    </row>
    <row r="269" spans="1:5" ht="12.75" customHeight="1" x14ac:dyDescent="0.25">
      <c r="A269" s="147">
        <v>9436</v>
      </c>
      <c r="B269" s="148">
        <v>129635650.22499999</v>
      </c>
      <c r="C269" s="144" t="s">
        <v>318</v>
      </c>
      <c r="E269" s="174"/>
    </row>
    <row r="270" spans="1:5" ht="12.75" customHeight="1" x14ac:dyDescent="0.25">
      <c r="A270" s="147">
        <v>9466</v>
      </c>
      <c r="B270" s="148">
        <v>132409848.625</v>
      </c>
      <c r="C270" s="144" t="s">
        <v>318</v>
      </c>
      <c r="E270" s="174"/>
    </row>
    <row r="271" spans="1:5" ht="12.75" customHeight="1" x14ac:dyDescent="0.25">
      <c r="A271" s="147">
        <v>9497</v>
      </c>
      <c r="B271" s="148">
        <v>132841572.785</v>
      </c>
      <c r="C271" s="144" t="s">
        <v>318</v>
      </c>
      <c r="E271" s="174"/>
    </row>
    <row r="272" spans="1:5" ht="12.75" customHeight="1" x14ac:dyDescent="0.25">
      <c r="A272" s="147">
        <v>9528</v>
      </c>
      <c r="B272" s="148">
        <v>127841642.215</v>
      </c>
      <c r="C272" s="144" t="s">
        <v>319</v>
      </c>
      <c r="E272" s="176"/>
    </row>
    <row r="273" spans="1:5" ht="12.75" customHeight="1" x14ac:dyDescent="0.25">
      <c r="A273" s="147">
        <v>9556</v>
      </c>
      <c r="B273" s="148">
        <v>129714730.83499999</v>
      </c>
      <c r="C273" s="144" t="s">
        <v>319</v>
      </c>
      <c r="E273" s="174"/>
    </row>
    <row r="274" spans="1:5" ht="12.75" customHeight="1" x14ac:dyDescent="0.25">
      <c r="A274" s="147">
        <v>9587</v>
      </c>
      <c r="B274" s="148">
        <v>131239700.08499999</v>
      </c>
      <c r="C274" s="144" t="s">
        <v>319</v>
      </c>
      <c r="E274" s="174"/>
    </row>
    <row r="275" spans="1:5" ht="12.75" customHeight="1" x14ac:dyDescent="0.25">
      <c r="A275" s="147">
        <v>9617</v>
      </c>
      <c r="B275" s="148">
        <v>130554602.705</v>
      </c>
      <c r="C275" s="144" t="s">
        <v>319</v>
      </c>
      <c r="E275" s="174"/>
    </row>
    <row r="276" spans="1:5" ht="12.75" customHeight="1" x14ac:dyDescent="0.25">
      <c r="A276" s="147">
        <v>9648</v>
      </c>
      <c r="B276" s="148">
        <v>129306048.295</v>
      </c>
      <c r="C276" s="144" t="s">
        <v>319</v>
      </c>
      <c r="E276" s="174"/>
    </row>
    <row r="277" spans="1:5" ht="12.75" customHeight="1" x14ac:dyDescent="0.25">
      <c r="A277" s="147">
        <v>9678</v>
      </c>
      <c r="B277" s="148">
        <v>125839782.27500001</v>
      </c>
      <c r="C277" s="144" t="s">
        <v>319</v>
      </c>
      <c r="E277" s="174"/>
    </row>
    <row r="278" spans="1:5" ht="12.75" customHeight="1" x14ac:dyDescent="0.25">
      <c r="A278" s="147">
        <v>9709</v>
      </c>
      <c r="B278" s="148">
        <v>125066599.905</v>
      </c>
      <c r="C278" s="144" t="s">
        <v>319</v>
      </c>
      <c r="E278" s="174"/>
    </row>
    <row r="279" spans="1:5" ht="12.75" customHeight="1" x14ac:dyDescent="0.25">
      <c r="A279" s="147">
        <v>9740</v>
      </c>
      <c r="B279" s="148">
        <v>124321337.495</v>
      </c>
      <c r="C279" s="144" t="s">
        <v>319</v>
      </c>
      <c r="E279" s="174"/>
    </row>
    <row r="280" spans="1:5" ht="12.75" customHeight="1" x14ac:dyDescent="0.25">
      <c r="A280" s="147">
        <v>9770</v>
      </c>
      <c r="B280" s="148">
        <v>124992230.105</v>
      </c>
      <c r="C280" s="144" t="s">
        <v>319</v>
      </c>
      <c r="E280" s="174"/>
    </row>
    <row r="281" spans="1:5" ht="12.75" customHeight="1" x14ac:dyDescent="0.25">
      <c r="A281" s="147">
        <v>9801</v>
      </c>
      <c r="B281" s="148">
        <v>125125975.27500001</v>
      </c>
      <c r="C281" s="144" t="s">
        <v>319</v>
      </c>
      <c r="E281" s="174"/>
    </row>
    <row r="282" spans="1:5" ht="12.75" customHeight="1" x14ac:dyDescent="0.25">
      <c r="A282" s="147">
        <v>9831</v>
      </c>
      <c r="B282" s="148">
        <v>125487458.05</v>
      </c>
      <c r="C282" s="144" t="s">
        <v>319</v>
      </c>
      <c r="E282" s="174"/>
    </row>
    <row r="283" spans="1:5" ht="12.75" customHeight="1" x14ac:dyDescent="0.25">
      <c r="A283" s="147">
        <v>9862</v>
      </c>
      <c r="B283" s="148">
        <v>124285269.02500001</v>
      </c>
      <c r="C283" s="144" t="s">
        <v>319</v>
      </c>
      <c r="E283" s="174"/>
    </row>
    <row r="284" spans="1:5" ht="12.75" customHeight="1" x14ac:dyDescent="0.25">
      <c r="A284" s="147">
        <v>9893</v>
      </c>
      <c r="B284" s="148">
        <v>121213491.595</v>
      </c>
      <c r="C284" s="144" t="s">
        <v>320</v>
      </c>
      <c r="E284" s="176"/>
    </row>
    <row r="285" spans="1:5" ht="12.75" customHeight="1" x14ac:dyDescent="0.25">
      <c r="A285" s="147">
        <v>9921</v>
      </c>
      <c r="B285" s="148">
        <v>123436045.595</v>
      </c>
      <c r="C285" s="144" t="s">
        <v>320</v>
      </c>
      <c r="E285" s="174"/>
    </row>
    <row r="286" spans="1:5" ht="12.75" customHeight="1" x14ac:dyDescent="0.25">
      <c r="A286" s="147">
        <v>9952</v>
      </c>
      <c r="B286" s="148">
        <v>127187511.175</v>
      </c>
      <c r="C286" s="144" t="s">
        <v>320</v>
      </c>
      <c r="E286" s="174"/>
    </row>
    <row r="287" spans="1:5" ht="12.75" customHeight="1" x14ac:dyDescent="0.25">
      <c r="A287" s="147">
        <v>9982</v>
      </c>
      <c r="B287" s="148">
        <v>129159201.505</v>
      </c>
      <c r="C287" s="144" t="s">
        <v>320</v>
      </c>
      <c r="E287" s="174"/>
    </row>
    <row r="288" spans="1:5" ht="12.75" customHeight="1" x14ac:dyDescent="0.25">
      <c r="A288" s="147">
        <v>10013</v>
      </c>
      <c r="B288" s="148">
        <v>129178394.77500001</v>
      </c>
      <c r="C288" s="144" t="s">
        <v>320</v>
      </c>
      <c r="E288" s="174"/>
    </row>
    <row r="289" spans="1:5" ht="12.75" customHeight="1" x14ac:dyDescent="0.25">
      <c r="A289" s="147">
        <v>10043</v>
      </c>
      <c r="B289" s="148">
        <v>130975224.595</v>
      </c>
      <c r="C289" s="144" t="s">
        <v>320</v>
      </c>
      <c r="E289" s="174"/>
    </row>
    <row r="290" spans="1:5" ht="12.75" customHeight="1" x14ac:dyDescent="0.25">
      <c r="A290" s="147">
        <v>10074</v>
      </c>
      <c r="B290" s="148">
        <v>129321355.795</v>
      </c>
      <c r="C290" s="144" t="s">
        <v>320</v>
      </c>
      <c r="E290" s="174"/>
    </row>
    <row r="291" spans="1:5" ht="12.75" customHeight="1" x14ac:dyDescent="0.25">
      <c r="A291" s="147">
        <v>10105</v>
      </c>
      <c r="B291" s="148">
        <v>127143752.22499999</v>
      </c>
      <c r="C291" s="144" t="s">
        <v>320</v>
      </c>
      <c r="E291" s="174"/>
    </row>
    <row r="292" spans="1:5" ht="12.75" customHeight="1" x14ac:dyDescent="0.25">
      <c r="A292" s="147">
        <v>10135</v>
      </c>
      <c r="B292" s="148">
        <v>127750041.535</v>
      </c>
      <c r="C292" s="144" t="s">
        <v>320</v>
      </c>
      <c r="E292" s="174"/>
    </row>
    <row r="293" spans="1:5" ht="12.75" customHeight="1" x14ac:dyDescent="0.25">
      <c r="A293" s="147">
        <v>10166</v>
      </c>
      <c r="B293" s="148">
        <v>130766629.705</v>
      </c>
      <c r="C293" s="144" t="s">
        <v>320</v>
      </c>
      <c r="E293" s="174"/>
    </row>
    <row r="294" spans="1:5" ht="12.75" customHeight="1" x14ac:dyDescent="0.25">
      <c r="A294" s="147">
        <v>10196</v>
      </c>
      <c r="B294" s="148">
        <v>131124543.925</v>
      </c>
      <c r="C294" s="144" t="s">
        <v>320</v>
      </c>
      <c r="E294" s="174"/>
    </row>
    <row r="295" spans="1:5" ht="12.75" customHeight="1" x14ac:dyDescent="0.25">
      <c r="A295" s="147">
        <v>10227</v>
      </c>
      <c r="B295" s="148">
        <v>128086089.125</v>
      </c>
      <c r="C295" s="144" t="s">
        <v>320</v>
      </c>
      <c r="E295" s="174"/>
    </row>
    <row r="296" spans="1:5" ht="12.75" customHeight="1" x14ac:dyDescent="0.25">
      <c r="A296" s="147">
        <v>10258</v>
      </c>
      <c r="B296" s="148">
        <v>126361979.61499999</v>
      </c>
      <c r="C296" s="144" t="s">
        <v>321</v>
      </c>
      <c r="E296" s="176"/>
    </row>
    <row r="297" spans="1:5" ht="12.75" customHeight="1" x14ac:dyDescent="0.25">
      <c r="A297" s="147">
        <v>10287</v>
      </c>
      <c r="B297" s="148">
        <v>126636419.675</v>
      </c>
      <c r="C297" s="144" t="s">
        <v>321</v>
      </c>
      <c r="E297" s="174"/>
    </row>
    <row r="298" spans="1:5" ht="12.75" customHeight="1" x14ac:dyDescent="0.25">
      <c r="A298" s="147">
        <v>10318</v>
      </c>
      <c r="B298" s="148">
        <v>128664660.295</v>
      </c>
      <c r="C298" s="144" t="s">
        <v>321</v>
      </c>
      <c r="E298" s="174"/>
    </row>
    <row r="299" spans="1:5" ht="12.75" customHeight="1" x14ac:dyDescent="0.25">
      <c r="A299" s="147">
        <v>10348</v>
      </c>
      <c r="B299" s="148">
        <v>130209642.515</v>
      </c>
      <c r="C299" s="144" t="s">
        <v>321</v>
      </c>
      <c r="E299" s="174"/>
    </row>
    <row r="300" spans="1:5" ht="12.75" customHeight="1" x14ac:dyDescent="0.25">
      <c r="A300" s="147">
        <v>10379</v>
      </c>
      <c r="B300" s="148">
        <v>131169815.685</v>
      </c>
      <c r="C300" s="144" t="s">
        <v>321</v>
      </c>
      <c r="E300" s="174"/>
    </row>
    <row r="301" spans="1:5" ht="12.75" customHeight="1" x14ac:dyDescent="0.25">
      <c r="A301" s="147">
        <v>10409</v>
      </c>
      <c r="B301" s="148">
        <v>129917421.015</v>
      </c>
      <c r="C301" s="144" t="s">
        <v>321</v>
      </c>
      <c r="E301" s="174"/>
    </row>
    <row r="302" spans="1:5" ht="12.75" customHeight="1" x14ac:dyDescent="0.25">
      <c r="A302" s="147">
        <v>10440</v>
      </c>
      <c r="B302" s="148">
        <v>129936500.095</v>
      </c>
      <c r="C302" s="144" t="s">
        <v>321</v>
      </c>
      <c r="E302" s="174"/>
    </row>
    <row r="303" spans="1:5" ht="12.75" customHeight="1" x14ac:dyDescent="0.25">
      <c r="A303" s="147">
        <v>10471</v>
      </c>
      <c r="B303" s="148">
        <v>130222495.105</v>
      </c>
      <c r="C303" s="144" t="s">
        <v>321</v>
      </c>
      <c r="E303" s="174"/>
    </row>
    <row r="304" spans="1:5" ht="12.75" customHeight="1" x14ac:dyDescent="0.25">
      <c r="A304" s="147">
        <v>10501</v>
      </c>
      <c r="B304" s="148">
        <v>128805895.52500001</v>
      </c>
      <c r="C304" s="144" t="s">
        <v>321</v>
      </c>
      <c r="E304" s="174"/>
    </row>
    <row r="305" spans="1:5" ht="12.75" customHeight="1" x14ac:dyDescent="0.25">
      <c r="A305" s="147">
        <v>10532</v>
      </c>
      <c r="B305" s="148">
        <v>126319021.655</v>
      </c>
      <c r="C305" s="144" t="s">
        <v>321</v>
      </c>
      <c r="E305" s="174"/>
    </row>
    <row r="306" spans="1:5" ht="12.75" customHeight="1" x14ac:dyDescent="0.25">
      <c r="A306" s="147">
        <v>10562</v>
      </c>
      <c r="B306" s="148">
        <v>125051652.795</v>
      </c>
      <c r="C306" s="144" t="s">
        <v>321</v>
      </c>
      <c r="E306" s="174"/>
    </row>
    <row r="307" spans="1:5" ht="12.75" customHeight="1" x14ac:dyDescent="0.25">
      <c r="A307" s="147">
        <v>10593</v>
      </c>
      <c r="B307" s="148">
        <v>130260557.545</v>
      </c>
      <c r="C307" s="144" t="s">
        <v>321</v>
      </c>
      <c r="E307" s="174"/>
    </row>
    <row r="308" spans="1:5" ht="12.75" customHeight="1" x14ac:dyDescent="0.25">
      <c r="A308" s="147">
        <v>10624</v>
      </c>
      <c r="B308" s="148">
        <v>128454755.683</v>
      </c>
      <c r="C308" s="144" t="s">
        <v>322</v>
      </c>
      <c r="E308" s="176"/>
    </row>
    <row r="309" spans="1:5" ht="12.75" customHeight="1" x14ac:dyDescent="0.25">
      <c r="A309" s="147">
        <v>10652</v>
      </c>
      <c r="B309" s="148">
        <v>131803234.065</v>
      </c>
      <c r="C309" s="144" t="s">
        <v>322</v>
      </c>
      <c r="E309" s="174"/>
    </row>
    <row r="310" spans="1:5" ht="12.75" customHeight="1" x14ac:dyDescent="0.25">
      <c r="A310" s="147">
        <v>10683</v>
      </c>
      <c r="B310" s="148">
        <v>135452894.10499999</v>
      </c>
      <c r="C310" s="144" t="s">
        <v>322</v>
      </c>
      <c r="E310" s="174"/>
    </row>
    <row r="311" spans="1:5" ht="12.75" customHeight="1" x14ac:dyDescent="0.25">
      <c r="A311" s="147">
        <v>10713</v>
      </c>
      <c r="B311" s="148">
        <v>131652338.925</v>
      </c>
      <c r="C311" s="144" t="s">
        <v>322</v>
      </c>
      <c r="E311" s="174"/>
    </row>
    <row r="312" spans="1:5" ht="12.75" customHeight="1" x14ac:dyDescent="0.25">
      <c r="A312" s="147">
        <v>10744</v>
      </c>
      <c r="B312" s="148">
        <v>129874621.495</v>
      </c>
      <c r="C312" s="144" t="s">
        <v>322</v>
      </c>
      <c r="E312" s="174"/>
    </row>
    <row r="313" spans="1:5" ht="12.75" customHeight="1" x14ac:dyDescent="0.25">
      <c r="A313" s="147">
        <v>10774</v>
      </c>
      <c r="B313" s="148">
        <v>124765817.735</v>
      </c>
      <c r="C313" s="144" t="s">
        <v>322</v>
      </c>
      <c r="E313" s="174"/>
    </row>
    <row r="314" spans="1:5" ht="12.75" customHeight="1" x14ac:dyDescent="0.25">
      <c r="A314" s="147">
        <v>10805</v>
      </c>
      <c r="B314" s="148">
        <v>124463708.88500001</v>
      </c>
      <c r="C314" s="144" t="s">
        <v>322</v>
      </c>
      <c r="E314" s="174"/>
    </row>
    <row r="315" spans="1:5" ht="12.75" customHeight="1" x14ac:dyDescent="0.25">
      <c r="A315" s="147">
        <v>10836</v>
      </c>
      <c r="B315" s="148">
        <v>121684145.845</v>
      </c>
      <c r="C315" s="144" t="s">
        <v>322</v>
      </c>
      <c r="E315" s="174"/>
    </row>
    <row r="316" spans="1:5" ht="12.75" customHeight="1" x14ac:dyDescent="0.25">
      <c r="A316" s="147">
        <v>10866</v>
      </c>
      <c r="B316" s="148">
        <v>121241564.825</v>
      </c>
      <c r="C316" s="144" t="s">
        <v>322</v>
      </c>
      <c r="E316" s="174"/>
    </row>
    <row r="317" spans="1:5" ht="12.75" customHeight="1" x14ac:dyDescent="0.25">
      <c r="A317" s="147">
        <v>10897</v>
      </c>
      <c r="B317" s="148">
        <v>122452139.105</v>
      </c>
      <c r="C317" s="144" t="s">
        <v>322</v>
      </c>
      <c r="E317" s="174"/>
    </row>
    <row r="318" spans="1:5" ht="12.75" customHeight="1" x14ac:dyDescent="0.25">
      <c r="A318" s="147">
        <v>10927</v>
      </c>
      <c r="B318" s="148">
        <v>123617718.075</v>
      </c>
      <c r="C318" s="144" t="s">
        <v>322</v>
      </c>
      <c r="E318" s="174"/>
    </row>
    <row r="319" spans="1:5" ht="12.75" customHeight="1" x14ac:dyDescent="0.25">
      <c r="A319" s="147">
        <v>10958</v>
      </c>
      <c r="B319" s="148">
        <v>124178069.66500001</v>
      </c>
      <c r="C319" s="144" t="s">
        <v>322</v>
      </c>
      <c r="E319" s="174"/>
    </row>
    <row r="320" spans="1:5" ht="12.75" customHeight="1" x14ac:dyDescent="0.25">
      <c r="A320" s="147">
        <v>10989</v>
      </c>
      <c r="B320" s="148">
        <v>120437349.205</v>
      </c>
      <c r="C320" s="144" t="s">
        <v>323</v>
      </c>
      <c r="E320" s="176"/>
    </row>
    <row r="321" spans="1:5" ht="12.75" customHeight="1" x14ac:dyDescent="0.25">
      <c r="A321" s="147">
        <v>11017</v>
      </c>
      <c r="B321" s="148">
        <v>125406774.075</v>
      </c>
      <c r="C321" s="144" t="s">
        <v>323</v>
      </c>
      <c r="E321" s="174"/>
    </row>
    <row r="322" spans="1:5" ht="12.75" customHeight="1" x14ac:dyDescent="0.25">
      <c r="A322" s="147">
        <v>11048</v>
      </c>
      <c r="B322" s="148">
        <v>123252481.44499999</v>
      </c>
      <c r="C322" s="144" t="s">
        <v>323</v>
      </c>
      <c r="E322" s="174"/>
    </row>
    <row r="323" spans="1:5" ht="12.75" customHeight="1" x14ac:dyDescent="0.25">
      <c r="A323" s="147">
        <v>11078</v>
      </c>
      <c r="B323" s="148">
        <v>118791723.97499999</v>
      </c>
      <c r="C323" s="144" t="s">
        <v>323</v>
      </c>
      <c r="E323" s="174"/>
    </row>
    <row r="324" spans="1:5" ht="12.75" customHeight="1" x14ac:dyDescent="0.25">
      <c r="A324" s="147">
        <v>11109</v>
      </c>
      <c r="B324" s="148">
        <v>116182708.88500001</v>
      </c>
      <c r="C324" s="144" t="s">
        <v>323</v>
      </c>
      <c r="E324" s="174"/>
    </row>
    <row r="325" spans="1:5" ht="12.75" customHeight="1" x14ac:dyDescent="0.25">
      <c r="A325" s="147">
        <v>11139</v>
      </c>
      <c r="B325" s="148">
        <v>110834391.315</v>
      </c>
      <c r="C325" s="144" t="s">
        <v>323</v>
      </c>
      <c r="E325" s="174"/>
    </row>
    <row r="326" spans="1:5" ht="12.75" customHeight="1" x14ac:dyDescent="0.25">
      <c r="A326" s="147">
        <v>11170</v>
      </c>
      <c r="B326" s="148">
        <v>109231444.295</v>
      </c>
      <c r="C326" s="144" t="s">
        <v>323</v>
      </c>
      <c r="E326" s="174"/>
    </row>
    <row r="327" spans="1:5" ht="12.75" customHeight="1" x14ac:dyDescent="0.25">
      <c r="A327" s="147">
        <v>11201</v>
      </c>
      <c r="B327" s="148">
        <v>108874824.375</v>
      </c>
      <c r="C327" s="144" t="s">
        <v>323</v>
      </c>
      <c r="E327" s="174"/>
    </row>
    <row r="328" spans="1:5" ht="12.75" customHeight="1" x14ac:dyDescent="0.25">
      <c r="A328" s="147">
        <v>11231</v>
      </c>
      <c r="B328" s="148">
        <v>106507396.84999999</v>
      </c>
      <c r="C328" s="144" t="s">
        <v>323</v>
      </c>
      <c r="E328" s="174"/>
    </row>
    <row r="329" spans="1:5" ht="12.75" customHeight="1" x14ac:dyDescent="0.25">
      <c r="A329" s="147">
        <v>11262</v>
      </c>
      <c r="B329" s="148">
        <v>105384145.035</v>
      </c>
      <c r="C329" s="144" t="s">
        <v>323</v>
      </c>
      <c r="E329" s="174"/>
    </row>
    <row r="330" spans="1:5" ht="12.75" customHeight="1" x14ac:dyDescent="0.25">
      <c r="A330" s="147">
        <v>11292</v>
      </c>
      <c r="B330" s="148">
        <v>106845069.755</v>
      </c>
      <c r="C330" s="144" t="s">
        <v>323</v>
      </c>
      <c r="E330" s="174"/>
    </row>
    <row r="331" spans="1:5" ht="12.75" customHeight="1" x14ac:dyDescent="0.25">
      <c r="A331" s="147">
        <v>11323</v>
      </c>
      <c r="B331" s="148">
        <v>109158404.41500001</v>
      </c>
      <c r="C331" s="144" t="s">
        <v>323</v>
      </c>
      <c r="E331" s="174"/>
    </row>
    <row r="332" spans="1:5" ht="12.75" customHeight="1" x14ac:dyDescent="0.25">
      <c r="A332" s="147">
        <v>11354</v>
      </c>
      <c r="B332" s="148">
        <v>109467914.845</v>
      </c>
      <c r="C332" s="144" t="s">
        <v>324</v>
      </c>
      <c r="E332" s="176"/>
    </row>
    <row r="333" spans="1:5" ht="12.75" customHeight="1" x14ac:dyDescent="0.25">
      <c r="A333" s="147">
        <v>11382</v>
      </c>
      <c r="B333" s="148">
        <v>109478450.355</v>
      </c>
      <c r="C333" s="144" t="s">
        <v>324</v>
      </c>
      <c r="E333" s="174"/>
    </row>
    <row r="334" spans="1:5" ht="12.75" customHeight="1" x14ac:dyDescent="0.25">
      <c r="A334" s="147">
        <v>11413</v>
      </c>
      <c r="B334" s="148">
        <v>110151720.895</v>
      </c>
      <c r="C334" s="144" t="s">
        <v>324</v>
      </c>
      <c r="E334" s="174"/>
    </row>
    <row r="335" spans="1:5" ht="12.75" customHeight="1" x14ac:dyDescent="0.25">
      <c r="A335" s="147">
        <v>11443</v>
      </c>
      <c r="B335" s="148">
        <v>109594318.095</v>
      </c>
      <c r="C335" s="144" t="s">
        <v>324</v>
      </c>
      <c r="E335" s="174"/>
    </row>
    <row r="336" spans="1:5" ht="12.75" customHeight="1" x14ac:dyDescent="0.25">
      <c r="A336" s="147">
        <v>11474</v>
      </c>
      <c r="B336" s="148">
        <v>106521752.285</v>
      </c>
      <c r="C336" s="144" t="s">
        <v>324</v>
      </c>
      <c r="E336" s="174"/>
    </row>
    <row r="337" spans="1:5" ht="12.75" customHeight="1" x14ac:dyDescent="0.25">
      <c r="A337" s="147">
        <v>11504</v>
      </c>
      <c r="B337" s="148">
        <v>104106018.485</v>
      </c>
      <c r="C337" s="144" t="s">
        <v>324</v>
      </c>
      <c r="E337" s="174"/>
    </row>
    <row r="338" spans="1:5" ht="12.75" customHeight="1" x14ac:dyDescent="0.25">
      <c r="A338" s="147">
        <v>11535</v>
      </c>
      <c r="B338" s="148">
        <v>102208294.215</v>
      </c>
      <c r="C338" s="144" t="s">
        <v>324</v>
      </c>
      <c r="E338" s="174"/>
    </row>
    <row r="339" spans="1:5" ht="12.75" customHeight="1" x14ac:dyDescent="0.25">
      <c r="A339" s="147">
        <v>11566</v>
      </c>
      <c r="B339" s="148">
        <v>101006432.625</v>
      </c>
      <c r="C339" s="144" t="s">
        <v>324</v>
      </c>
      <c r="E339" s="174"/>
    </row>
    <row r="340" spans="1:5" ht="12.75" customHeight="1" x14ac:dyDescent="0.25">
      <c r="A340" s="147">
        <v>11596</v>
      </c>
      <c r="B340" s="148">
        <v>100342653.48</v>
      </c>
      <c r="C340" s="144" t="s">
        <v>324</v>
      </c>
      <c r="E340" s="174"/>
    </row>
    <row r="341" spans="1:5" ht="12.75" customHeight="1" x14ac:dyDescent="0.25">
      <c r="A341" s="147">
        <v>11627</v>
      </c>
      <c r="B341" s="148">
        <v>97660622.739999995</v>
      </c>
      <c r="C341" s="144" t="s">
        <v>324</v>
      </c>
      <c r="E341" s="174"/>
    </row>
    <row r="342" spans="1:5" ht="12.75" customHeight="1" x14ac:dyDescent="0.25">
      <c r="A342" s="147">
        <v>11657</v>
      </c>
      <c r="B342" s="148">
        <v>97022369.700000003</v>
      </c>
      <c r="C342" s="144" t="s">
        <v>324</v>
      </c>
      <c r="E342" s="174"/>
    </row>
    <row r="343" spans="1:5" ht="12.75" customHeight="1" x14ac:dyDescent="0.25">
      <c r="A343" s="147">
        <v>11688</v>
      </c>
      <c r="B343" s="148">
        <v>99686336.670000002</v>
      </c>
      <c r="C343" s="144" t="s">
        <v>324</v>
      </c>
      <c r="E343" s="174"/>
    </row>
    <row r="344" spans="1:5" ht="12.75" customHeight="1" x14ac:dyDescent="0.25">
      <c r="A344" s="147">
        <v>11719</v>
      </c>
      <c r="B344" s="148">
        <v>95969803.579999998</v>
      </c>
      <c r="C344" s="144" t="s">
        <v>325</v>
      </c>
      <c r="E344" s="176"/>
    </row>
    <row r="345" spans="1:5" ht="12.75" customHeight="1" x14ac:dyDescent="0.25">
      <c r="A345" s="147">
        <v>11748</v>
      </c>
      <c r="B345" s="148">
        <v>97881988.959999993</v>
      </c>
      <c r="C345" s="144" t="s">
        <v>325</v>
      </c>
      <c r="E345" s="174"/>
    </row>
    <row r="346" spans="1:5" ht="12.75" customHeight="1" x14ac:dyDescent="0.25">
      <c r="A346" s="147">
        <v>11779</v>
      </c>
      <c r="B346" s="148">
        <v>97516671.909999996</v>
      </c>
      <c r="C346" s="144" t="s">
        <v>325</v>
      </c>
      <c r="E346" s="174"/>
    </row>
    <row r="347" spans="1:5" ht="12.75" customHeight="1" x14ac:dyDescent="0.25">
      <c r="A347" s="147">
        <v>11809</v>
      </c>
      <c r="B347" s="148">
        <v>94000398.719999999</v>
      </c>
      <c r="C347" s="144" t="s">
        <v>325</v>
      </c>
      <c r="E347" s="174"/>
    </row>
    <row r="348" spans="1:5" ht="12.75" customHeight="1" x14ac:dyDescent="0.25">
      <c r="A348" s="147">
        <v>11840</v>
      </c>
      <c r="B348" s="148">
        <v>92076744.060000002</v>
      </c>
      <c r="C348" s="144" t="s">
        <v>325</v>
      </c>
      <c r="E348" s="174"/>
    </row>
    <row r="349" spans="1:5" ht="12.75" customHeight="1" x14ac:dyDescent="0.25">
      <c r="A349" s="147">
        <v>11870</v>
      </c>
      <c r="B349" s="148">
        <v>89325362.5</v>
      </c>
      <c r="C349" s="144" t="s">
        <v>325</v>
      </c>
      <c r="E349" s="174"/>
    </row>
    <row r="350" spans="1:5" ht="12.75" customHeight="1" x14ac:dyDescent="0.25">
      <c r="A350" s="147">
        <v>11901</v>
      </c>
      <c r="B350" s="148">
        <v>87459457.890000001</v>
      </c>
      <c r="C350" s="144" t="s">
        <v>325</v>
      </c>
      <c r="E350" s="174"/>
    </row>
    <row r="351" spans="1:5" ht="12.75" customHeight="1" x14ac:dyDescent="0.25">
      <c r="A351" s="147">
        <v>11932</v>
      </c>
      <c r="B351" s="148">
        <v>86852692.25</v>
      </c>
      <c r="C351" s="144" t="s">
        <v>325</v>
      </c>
      <c r="E351" s="174"/>
    </row>
    <row r="352" spans="1:5" ht="12.75" customHeight="1" x14ac:dyDescent="0.25">
      <c r="A352" s="147">
        <v>11962</v>
      </c>
      <c r="B352" s="148">
        <v>89418479.269999996</v>
      </c>
      <c r="C352" s="144" t="s">
        <v>325</v>
      </c>
      <c r="E352" s="174"/>
    </row>
    <row r="353" spans="1:5" ht="12.75" customHeight="1" x14ac:dyDescent="0.25">
      <c r="A353" s="147">
        <v>11993</v>
      </c>
      <c r="B353" s="148">
        <v>87534916.450000003</v>
      </c>
      <c r="C353" s="144" t="s">
        <v>325</v>
      </c>
      <c r="E353" s="174"/>
    </row>
    <row r="354" spans="1:5" ht="12.75" customHeight="1" x14ac:dyDescent="0.25">
      <c r="A354" s="147">
        <v>12023</v>
      </c>
      <c r="B354" s="148">
        <v>88119687.840000004</v>
      </c>
      <c r="C354" s="144" t="s">
        <v>325</v>
      </c>
      <c r="E354" s="174"/>
    </row>
    <row r="355" spans="1:5" ht="12.75" customHeight="1" x14ac:dyDescent="0.25">
      <c r="A355" s="147">
        <v>12054</v>
      </c>
      <c r="B355" s="148">
        <v>89082234.700000003</v>
      </c>
      <c r="C355" s="144" t="s">
        <v>325</v>
      </c>
      <c r="E355" s="174"/>
    </row>
    <row r="356" spans="1:5" ht="12.75" customHeight="1" x14ac:dyDescent="0.25">
      <c r="A356" s="147">
        <v>12085</v>
      </c>
      <c r="B356" s="148">
        <v>87784693.730000004</v>
      </c>
      <c r="C356" s="144" t="s">
        <v>326</v>
      </c>
      <c r="E356" s="176"/>
    </row>
    <row r="357" spans="1:5" ht="12.75" customHeight="1" x14ac:dyDescent="0.25">
      <c r="A357" s="147">
        <v>12113</v>
      </c>
      <c r="B357" s="148">
        <v>86700640.769999996</v>
      </c>
      <c r="C357" s="144" t="s">
        <v>326</v>
      </c>
      <c r="E357" s="174"/>
    </row>
    <row r="358" spans="1:5" ht="12.75" customHeight="1" x14ac:dyDescent="0.25">
      <c r="A358" s="147">
        <v>12144</v>
      </c>
      <c r="B358" s="148">
        <v>92740908.989999995</v>
      </c>
      <c r="C358" s="144" t="s">
        <v>326</v>
      </c>
      <c r="E358" s="174"/>
    </row>
    <row r="359" spans="1:5" ht="12.75" customHeight="1" x14ac:dyDescent="0.25">
      <c r="A359" s="147">
        <v>12174</v>
      </c>
      <c r="B359" s="148">
        <v>92283783.519999996</v>
      </c>
      <c r="C359" s="144" t="s">
        <v>326</v>
      </c>
      <c r="E359" s="174"/>
    </row>
    <row r="360" spans="1:5" ht="12.75" customHeight="1" x14ac:dyDescent="0.25">
      <c r="A360" s="147">
        <v>12205</v>
      </c>
      <c r="B360" s="148">
        <v>93817442.859999999</v>
      </c>
      <c r="C360" s="144" t="s">
        <v>326</v>
      </c>
      <c r="E360" s="174"/>
    </row>
    <row r="361" spans="1:5" ht="12.75" customHeight="1" x14ac:dyDescent="0.25">
      <c r="A361" s="147">
        <v>12235</v>
      </c>
      <c r="B361" s="148">
        <v>92487325.689999998</v>
      </c>
      <c r="C361" s="144" t="s">
        <v>326</v>
      </c>
      <c r="E361" s="174"/>
    </row>
    <row r="362" spans="1:5" ht="12.75" customHeight="1" x14ac:dyDescent="0.25">
      <c r="A362" s="147">
        <v>12266</v>
      </c>
      <c r="B362" s="148">
        <v>92429023.950000003</v>
      </c>
      <c r="C362" s="144" t="s">
        <v>326</v>
      </c>
      <c r="E362" s="174"/>
    </row>
    <row r="363" spans="1:5" ht="12.75" customHeight="1" x14ac:dyDescent="0.25">
      <c r="A363" s="147">
        <v>12297</v>
      </c>
      <c r="B363" s="148">
        <v>93326649.840000004</v>
      </c>
      <c r="C363" s="144" t="s">
        <v>326</v>
      </c>
      <c r="E363" s="174"/>
    </row>
    <row r="364" spans="1:5" ht="12.75" customHeight="1" x14ac:dyDescent="0.25">
      <c r="A364" s="147">
        <v>12327</v>
      </c>
      <c r="B364" s="148">
        <v>95777132.609999999</v>
      </c>
      <c r="C364" s="144" t="s">
        <v>326</v>
      </c>
      <c r="E364" s="174"/>
    </row>
    <row r="365" spans="1:5" ht="12.75" customHeight="1" x14ac:dyDescent="0.25">
      <c r="A365" s="147">
        <v>12358</v>
      </c>
      <c r="B365" s="148">
        <v>95267193.099999994</v>
      </c>
      <c r="C365" s="144" t="s">
        <v>326</v>
      </c>
      <c r="E365" s="174"/>
    </row>
    <row r="366" spans="1:5" ht="12.75" customHeight="1" x14ac:dyDescent="0.25">
      <c r="A366" s="147">
        <v>12388</v>
      </c>
      <c r="B366" s="148">
        <v>96668196.569999993</v>
      </c>
      <c r="C366" s="144" t="s">
        <v>326</v>
      </c>
      <c r="E366" s="174"/>
    </row>
    <row r="367" spans="1:5" ht="12.75" customHeight="1" x14ac:dyDescent="0.25">
      <c r="A367" s="147">
        <v>12419</v>
      </c>
      <c r="B367" s="148">
        <v>100582587.95999999</v>
      </c>
      <c r="C367" s="144" t="s">
        <v>326</v>
      </c>
      <c r="E367" s="174"/>
    </row>
    <row r="368" spans="1:5" ht="12.75" customHeight="1" x14ac:dyDescent="0.25">
      <c r="A368" s="147">
        <v>12450</v>
      </c>
      <c r="B368" s="148">
        <v>99503882.620000005</v>
      </c>
      <c r="C368" s="144" t="s">
        <v>327</v>
      </c>
      <c r="E368" s="176"/>
    </row>
    <row r="369" spans="1:5" ht="12.75" customHeight="1" x14ac:dyDescent="0.25">
      <c r="A369" s="147">
        <v>12478</v>
      </c>
      <c r="B369" s="148">
        <v>101460450.48</v>
      </c>
      <c r="C369" s="144" t="s">
        <v>327</v>
      </c>
      <c r="E369" s="174"/>
    </row>
    <row r="370" spans="1:5" ht="12.75" customHeight="1" x14ac:dyDescent="0.25">
      <c r="A370" s="147">
        <v>12509</v>
      </c>
      <c r="B370" s="148">
        <v>103657428.31</v>
      </c>
      <c r="C370" s="144" t="s">
        <v>327</v>
      </c>
      <c r="E370" s="174"/>
    </row>
    <row r="371" spans="1:5" ht="12.75" customHeight="1" x14ac:dyDescent="0.25">
      <c r="A371" s="147">
        <v>12539</v>
      </c>
      <c r="B371" s="148">
        <v>104707624.23999999</v>
      </c>
      <c r="C371" s="144" t="s">
        <v>327</v>
      </c>
      <c r="E371" s="174"/>
    </row>
    <row r="372" spans="1:5" ht="12.75" customHeight="1" x14ac:dyDescent="0.25">
      <c r="A372" s="147">
        <v>12570</v>
      </c>
      <c r="B372" s="148">
        <v>104498696.37</v>
      </c>
      <c r="C372" s="144" t="s">
        <v>327</v>
      </c>
      <c r="E372" s="174"/>
    </row>
    <row r="373" spans="1:5" ht="12.75" customHeight="1" x14ac:dyDescent="0.25">
      <c r="A373" s="147">
        <v>12600</v>
      </c>
      <c r="B373" s="148">
        <v>100638949.90000001</v>
      </c>
      <c r="C373" s="144" t="s">
        <v>327</v>
      </c>
      <c r="E373" s="174"/>
    </row>
    <row r="374" spans="1:5" ht="12.75" customHeight="1" x14ac:dyDescent="0.25">
      <c r="A374" s="147">
        <v>12631</v>
      </c>
      <c r="B374" s="148">
        <v>97873927.340000004</v>
      </c>
      <c r="C374" s="144" t="s">
        <v>327</v>
      </c>
      <c r="E374" s="174"/>
    </row>
    <row r="375" spans="1:5" ht="12.75" customHeight="1" x14ac:dyDescent="0.25">
      <c r="A375" s="147">
        <v>12662</v>
      </c>
      <c r="B375" s="148">
        <v>98639520.299999997</v>
      </c>
      <c r="C375" s="144" t="s">
        <v>327</v>
      </c>
      <c r="E375" s="174"/>
    </row>
    <row r="376" spans="1:5" ht="12.75" customHeight="1" x14ac:dyDescent="0.25">
      <c r="A376" s="147">
        <v>12692</v>
      </c>
      <c r="B376" s="148">
        <v>100278686.65000001</v>
      </c>
      <c r="C376" s="144" t="s">
        <v>327</v>
      </c>
      <c r="E376" s="174"/>
    </row>
    <row r="377" spans="1:5" ht="12.75" customHeight="1" x14ac:dyDescent="0.25">
      <c r="A377" s="147">
        <v>12723</v>
      </c>
      <c r="B377" s="148">
        <v>99795399.260000005</v>
      </c>
      <c r="C377" s="144" t="s">
        <v>327</v>
      </c>
      <c r="E377" s="174"/>
    </row>
    <row r="378" spans="1:5" ht="12.75" customHeight="1" x14ac:dyDescent="0.25">
      <c r="A378" s="147">
        <v>12753</v>
      </c>
      <c r="B378" s="148">
        <v>99689059.120000005</v>
      </c>
      <c r="C378" s="144" t="s">
        <v>327</v>
      </c>
      <c r="E378" s="174"/>
    </row>
    <row r="379" spans="1:5" ht="12.75" customHeight="1" x14ac:dyDescent="0.25">
      <c r="A379" s="147">
        <v>12784</v>
      </c>
      <c r="B379" s="148">
        <v>102032419.94</v>
      </c>
      <c r="C379" s="144" t="s">
        <v>327</v>
      </c>
      <c r="E379" s="174"/>
    </row>
    <row r="380" spans="1:5" ht="12.75" customHeight="1" x14ac:dyDescent="0.25">
      <c r="A380" s="147">
        <v>12815</v>
      </c>
      <c r="B380" s="148">
        <v>101019377.48999999</v>
      </c>
      <c r="C380" s="144" t="s">
        <v>328</v>
      </c>
      <c r="E380" s="176"/>
    </row>
    <row r="381" spans="1:5" ht="12.75" customHeight="1" x14ac:dyDescent="0.25">
      <c r="A381" s="147">
        <v>12843</v>
      </c>
      <c r="B381" s="148">
        <v>103055905.17</v>
      </c>
      <c r="C381" s="144" t="s">
        <v>328</v>
      </c>
      <c r="E381" s="174"/>
    </row>
    <row r="382" spans="1:5" ht="12.75" customHeight="1" x14ac:dyDescent="0.25">
      <c r="A382" s="147">
        <v>12874</v>
      </c>
      <c r="B382" s="148">
        <v>108844598.17</v>
      </c>
      <c r="C382" s="144" t="s">
        <v>328</v>
      </c>
      <c r="E382" s="174"/>
    </row>
    <row r="383" spans="1:5" ht="12.75" customHeight="1" x14ac:dyDescent="0.25">
      <c r="A383" s="147">
        <v>12904</v>
      </c>
      <c r="B383" s="148">
        <v>108060768.27</v>
      </c>
      <c r="C383" s="144" t="s">
        <v>328</v>
      </c>
      <c r="E383" s="174"/>
    </row>
    <row r="384" spans="1:5" ht="12.75" customHeight="1" x14ac:dyDescent="0.25">
      <c r="A384" s="147">
        <v>12935</v>
      </c>
      <c r="B384" s="148">
        <v>108912443.64</v>
      </c>
      <c r="C384" s="144" t="s">
        <v>328</v>
      </c>
      <c r="E384" s="174"/>
    </row>
    <row r="385" spans="1:5" ht="12.75" customHeight="1" x14ac:dyDescent="0.25">
      <c r="A385" s="147">
        <v>12965</v>
      </c>
      <c r="B385" s="148">
        <v>105840721.56999999</v>
      </c>
      <c r="C385" s="144" t="s">
        <v>328</v>
      </c>
      <c r="E385" s="174"/>
    </row>
    <row r="386" spans="1:5" ht="12.75" customHeight="1" x14ac:dyDescent="0.25">
      <c r="A386" s="147">
        <v>12996</v>
      </c>
      <c r="B386" s="148">
        <v>106115094.04000001</v>
      </c>
      <c r="C386" s="144" t="s">
        <v>328</v>
      </c>
      <c r="E386" s="174"/>
    </row>
    <row r="387" spans="1:5" ht="12.75" customHeight="1" x14ac:dyDescent="0.25">
      <c r="A387" s="147">
        <v>13027</v>
      </c>
      <c r="B387" s="148">
        <v>107838640.29000001</v>
      </c>
      <c r="C387" s="144" t="s">
        <v>328</v>
      </c>
      <c r="E387" s="174"/>
    </row>
    <row r="388" spans="1:5" ht="12.75" customHeight="1" x14ac:dyDescent="0.25">
      <c r="A388" s="147">
        <v>13057</v>
      </c>
      <c r="B388" s="148">
        <v>109562140.98</v>
      </c>
      <c r="C388" s="144" t="s">
        <v>328</v>
      </c>
      <c r="E388" s="174"/>
    </row>
    <row r="389" spans="1:5" ht="12.75" customHeight="1" x14ac:dyDescent="0.25">
      <c r="A389" s="147">
        <v>13088</v>
      </c>
      <c r="B389" s="148">
        <v>112730483.55</v>
      </c>
      <c r="C389" s="144" t="s">
        <v>328</v>
      </c>
      <c r="E389" s="174"/>
    </row>
    <row r="390" spans="1:5" ht="12.75" customHeight="1" x14ac:dyDescent="0.25">
      <c r="A390" s="147">
        <v>13118</v>
      </c>
      <c r="B390" s="148">
        <v>114455629.06</v>
      </c>
      <c r="C390" s="144" t="s">
        <v>328</v>
      </c>
      <c r="E390" s="174"/>
    </row>
    <row r="391" spans="1:5" ht="12.75" customHeight="1" x14ac:dyDescent="0.25">
      <c r="A391" s="147">
        <v>13149</v>
      </c>
      <c r="B391" s="148">
        <v>117362692.92</v>
      </c>
      <c r="C391" s="144" t="s">
        <v>328</v>
      </c>
      <c r="E391" s="174"/>
    </row>
    <row r="392" spans="1:5" ht="12.75" customHeight="1" x14ac:dyDescent="0.25">
      <c r="A392" s="147">
        <v>13180</v>
      </c>
      <c r="B392" s="148">
        <v>116050381.94</v>
      </c>
      <c r="C392" s="144" t="s">
        <v>329</v>
      </c>
      <c r="E392" s="176"/>
    </row>
    <row r="393" spans="1:5" ht="12.75" customHeight="1" x14ac:dyDescent="0.25">
      <c r="A393" s="147">
        <v>13209</v>
      </c>
      <c r="B393" s="148">
        <v>118575265.59</v>
      </c>
      <c r="C393" s="144" t="s">
        <v>329</v>
      </c>
      <c r="E393" s="174"/>
    </row>
    <row r="394" spans="1:5" ht="12.75" customHeight="1" x14ac:dyDescent="0.25">
      <c r="A394" s="147">
        <v>13240</v>
      </c>
      <c r="B394" s="148">
        <v>125936213.93000001</v>
      </c>
      <c r="C394" s="144" t="s">
        <v>329</v>
      </c>
      <c r="E394" s="174"/>
    </row>
    <row r="395" spans="1:5" ht="12.75" customHeight="1" x14ac:dyDescent="0.25">
      <c r="A395" s="147">
        <v>13270</v>
      </c>
      <c r="B395" s="148">
        <v>127108012.34</v>
      </c>
      <c r="C395" s="144" t="s">
        <v>329</v>
      </c>
      <c r="E395" s="174"/>
    </row>
    <row r="396" spans="1:5" ht="12.75" customHeight="1" x14ac:dyDescent="0.25">
      <c r="A396" s="147">
        <v>13301</v>
      </c>
      <c r="B396" s="148">
        <v>126575414.39</v>
      </c>
      <c r="C396" s="144" t="s">
        <v>329</v>
      </c>
      <c r="E396" s="174"/>
    </row>
    <row r="397" spans="1:5" ht="12.75" customHeight="1" x14ac:dyDescent="0.25">
      <c r="A397" s="147">
        <v>13331</v>
      </c>
      <c r="B397" s="148">
        <v>123627049.38</v>
      </c>
      <c r="C397" s="144" t="s">
        <v>329</v>
      </c>
      <c r="E397" s="174"/>
    </row>
    <row r="398" spans="1:5" ht="12.75" customHeight="1" x14ac:dyDescent="0.25">
      <c r="A398" s="147">
        <v>13362</v>
      </c>
      <c r="B398" s="148">
        <v>125682501.55</v>
      </c>
      <c r="C398" s="144" t="s">
        <v>329</v>
      </c>
      <c r="E398" s="174"/>
    </row>
    <row r="399" spans="1:5" ht="12.75" customHeight="1" x14ac:dyDescent="0.25">
      <c r="A399" s="147">
        <v>13393</v>
      </c>
      <c r="B399" s="148">
        <v>123948632.40000001</v>
      </c>
      <c r="C399" s="144" t="s">
        <v>329</v>
      </c>
      <c r="E399" s="174"/>
    </row>
    <row r="400" spans="1:5" ht="12.75" customHeight="1" x14ac:dyDescent="0.25">
      <c r="A400" s="147">
        <v>13423</v>
      </c>
      <c r="B400" s="148">
        <v>128174117.22</v>
      </c>
      <c r="C400" s="144" t="s">
        <v>329</v>
      </c>
      <c r="E400" s="174"/>
    </row>
    <row r="401" spans="1:5" ht="12.75" customHeight="1" x14ac:dyDescent="0.25">
      <c r="A401" s="147">
        <v>13454</v>
      </c>
      <c r="B401" s="148">
        <v>128776637.12</v>
      </c>
      <c r="C401" s="144" t="s">
        <v>329</v>
      </c>
      <c r="E401" s="174"/>
    </row>
    <row r="402" spans="1:5" ht="12.75" customHeight="1" x14ac:dyDescent="0.25">
      <c r="A402" s="147">
        <v>13484</v>
      </c>
      <c r="B402" s="148">
        <v>132333082.95999999</v>
      </c>
      <c r="C402" s="144" t="s">
        <v>329</v>
      </c>
      <c r="E402" s="174"/>
    </row>
    <row r="403" spans="1:5" ht="12.75" customHeight="1" x14ac:dyDescent="0.25">
      <c r="A403" s="147">
        <v>13515</v>
      </c>
      <c r="B403" s="148">
        <v>140404021.37</v>
      </c>
      <c r="C403" s="144" t="s">
        <v>329</v>
      </c>
      <c r="E403" s="174"/>
    </row>
    <row r="404" spans="1:5" ht="12.75" customHeight="1" x14ac:dyDescent="0.25">
      <c r="A404" s="147">
        <v>13546</v>
      </c>
      <c r="B404" s="148">
        <v>141320050.66999999</v>
      </c>
      <c r="C404" s="144" t="s">
        <v>330</v>
      </c>
      <c r="E404" s="176"/>
    </row>
    <row r="405" spans="1:5" ht="12.75" customHeight="1" x14ac:dyDescent="0.25">
      <c r="A405" s="147">
        <v>13574</v>
      </c>
      <c r="B405" s="148">
        <v>142519306.94999999</v>
      </c>
      <c r="C405" s="144" t="s">
        <v>330</v>
      </c>
      <c r="E405" s="174"/>
    </row>
    <row r="406" spans="1:5" ht="12.75" customHeight="1" x14ac:dyDescent="0.25">
      <c r="A406" s="147">
        <v>13605</v>
      </c>
      <c r="B406" s="148">
        <v>148438032.21000001</v>
      </c>
      <c r="C406" s="144" t="s">
        <v>330</v>
      </c>
      <c r="E406" s="174"/>
    </row>
    <row r="407" spans="1:5" ht="12.75" customHeight="1" x14ac:dyDescent="0.25">
      <c r="A407" s="147">
        <v>13635</v>
      </c>
      <c r="B407" s="148">
        <v>150321846.56999999</v>
      </c>
      <c r="C407" s="144" t="s">
        <v>330</v>
      </c>
      <c r="E407" s="174"/>
    </row>
    <row r="408" spans="1:5" ht="12.75" customHeight="1" x14ac:dyDescent="0.25">
      <c r="A408" s="147">
        <v>13666</v>
      </c>
      <c r="B408" s="148">
        <v>149151405.03</v>
      </c>
      <c r="C408" s="144" t="s">
        <v>330</v>
      </c>
      <c r="E408" s="174"/>
    </row>
    <row r="409" spans="1:5" ht="12.75" customHeight="1" x14ac:dyDescent="0.25">
      <c r="A409" s="147">
        <v>13696</v>
      </c>
      <c r="B409" s="148">
        <v>151592987.97</v>
      </c>
      <c r="C409" s="144" t="s">
        <v>330</v>
      </c>
      <c r="E409" s="174"/>
    </row>
    <row r="410" spans="1:5" ht="12.75" customHeight="1" x14ac:dyDescent="0.25">
      <c r="A410" s="147">
        <v>13727</v>
      </c>
      <c r="B410" s="148">
        <v>152672194.25</v>
      </c>
      <c r="C410" s="144" t="s">
        <v>330</v>
      </c>
      <c r="E410" s="174"/>
    </row>
    <row r="411" spans="1:5" ht="12.75" customHeight="1" x14ac:dyDescent="0.25">
      <c r="A411" s="147">
        <v>13758</v>
      </c>
      <c r="B411" s="148">
        <v>152681375.63999999</v>
      </c>
      <c r="C411" s="144" t="s">
        <v>330</v>
      </c>
      <c r="E411" s="174"/>
    </row>
    <row r="412" spans="1:5" ht="12.75" customHeight="1" x14ac:dyDescent="0.25">
      <c r="A412" s="147">
        <v>13788</v>
      </c>
      <c r="B412" s="148">
        <v>155169212.63999999</v>
      </c>
      <c r="C412" s="144" t="s">
        <v>330</v>
      </c>
      <c r="E412" s="174"/>
    </row>
    <row r="413" spans="1:5" ht="12.75" customHeight="1" x14ac:dyDescent="0.25">
      <c r="A413" s="147">
        <v>13819</v>
      </c>
      <c r="B413" s="148">
        <v>157568872.15000001</v>
      </c>
      <c r="C413" s="144" t="s">
        <v>330</v>
      </c>
      <c r="E413" s="174"/>
    </row>
    <row r="414" spans="1:5" ht="12.75" customHeight="1" x14ac:dyDescent="0.25">
      <c r="A414" s="147">
        <v>13849</v>
      </c>
      <c r="B414" s="148">
        <v>159403845.09</v>
      </c>
      <c r="C414" s="144" t="s">
        <v>330</v>
      </c>
      <c r="E414" s="174"/>
    </row>
    <row r="415" spans="1:5" ht="12.75" customHeight="1" x14ac:dyDescent="0.25">
      <c r="A415" s="147">
        <v>13880</v>
      </c>
      <c r="B415" s="148">
        <v>161489426.38999999</v>
      </c>
      <c r="C415" s="144" t="s">
        <v>330</v>
      </c>
      <c r="E415" s="174"/>
    </row>
    <row r="416" spans="1:5" ht="12.75" customHeight="1" x14ac:dyDescent="0.25">
      <c r="A416" s="147">
        <v>13911</v>
      </c>
      <c r="B416" s="148">
        <v>163747978.37</v>
      </c>
      <c r="C416" s="144" t="s">
        <v>331</v>
      </c>
      <c r="E416" s="176"/>
    </row>
    <row r="417" spans="1:5" ht="12.75" customHeight="1" x14ac:dyDescent="0.25">
      <c r="A417" s="147">
        <v>13939</v>
      </c>
      <c r="B417" s="148">
        <v>167414026.59</v>
      </c>
      <c r="C417" s="144" t="s">
        <v>331</v>
      </c>
      <c r="E417" s="174"/>
    </row>
    <row r="418" spans="1:5" ht="12.75" customHeight="1" x14ac:dyDescent="0.25">
      <c r="A418" s="147">
        <v>13970</v>
      </c>
      <c r="B418" s="148">
        <v>173736533.80000001</v>
      </c>
      <c r="C418" s="144" t="s">
        <v>331</v>
      </c>
      <c r="E418" s="174"/>
    </row>
    <row r="419" spans="1:5" ht="12.75" customHeight="1" x14ac:dyDescent="0.25">
      <c r="A419" s="147">
        <v>14000</v>
      </c>
      <c r="B419" s="148">
        <v>171493064.58000001</v>
      </c>
      <c r="C419" s="144" t="s">
        <v>331</v>
      </c>
      <c r="E419" s="174"/>
    </row>
    <row r="420" spans="1:5" ht="12.75" customHeight="1" x14ac:dyDescent="0.25">
      <c r="A420" s="147">
        <v>14031</v>
      </c>
      <c r="B420" s="148">
        <v>170638896.18000001</v>
      </c>
      <c r="C420" s="144" t="s">
        <v>331</v>
      </c>
      <c r="E420" s="174"/>
    </row>
    <row r="421" spans="1:5" ht="12.75" customHeight="1" x14ac:dyDescent="0.25">
      <c r="A421" s="147">
        <v>14061</v>
      </c>
      <c r="B421" s="148">
        <v>179563544.83000001</v>
      </c>
      <c r="C421" s="144" t="s">
        <v>331</v>
      </c>
      <c r="E421" s="174"/>
    </row>
    <row r="422" spans="1:5" ht="12.75" customHeight="1" x14ac:dyDescent="0.25">
      <c r="A422" s="147">
        <v>14092</v>
      </c>
      <c r="B422" s="148">
        <v>181408565.30000001</v>
      </c>
      <c r="C422" s="144" t="s">
        <v>331</v>
      </c>
      <c r="E422" s="174"/>
    </row>
    <row r="423" spans="1:5" ht="12.75" customHeight="1" x14ac:dyDescent="0.25">
      <c r="A423" s="147">
        <v>14123</v>
      </c>
      <c r="B423" s="148">
        <v>183743001.81999999</v>
      </c>
      <c r="C423" s="144" t="s">
        <v>331</v>
      </c>
      <c r="E423" s="174"/>
    </row>
    <row r="424" spans="1:5" ht="12.75" customHeight="1" x14ac:dyDescent="0.25">
      <c r="A424" s="147">
        <v>14153</v>
      </c>
      <c r="B424" s="148">
        <v>206797840.49000001</v>
      </c>
      <c r="C424" s="144" t="s">
        <v>331</v>
      </c>
      <c r="E424" s="174"/>
    </row>
    <row r="425" spans="1:5" ht="12.75" customHeight="1" x14ac:dyDescent="0.25">
      <c r="A425" s="147">
        <v>14184</v>
      </c>
      <c r="B425" s="148">
        <v>208687881.09999999</v>
      </c>
      <c r="C425" s="144" t="s">
        <v>331</v>
      </c>
      <c r="E425" s="174"/>
    </row>
    <row r="426" spans="1:5" ht="12.75" customHeight="1" x14ac:dyDescent="0.25">
      <c r="A426" s="147">
        <v>14214</v>
      </c>
      <c r="B426" s="148">
        <v>208413990.34</v>
      </c>
      <c r="C426" s="144" t="s">
        <v>331</v>
      </c>
      <c r="E426" s="174"/>
    </row>
    <row r="427" spans="1:5" ht="12.75" customHeight="1" x14ac:dyDescent="0.25">
      <c r="A427" s="147">
        <v>14245</v>
      </c>
      <c r="B427" s="148">
        <v>205437892.03999999</v>
      </c>
      <c r="C427" s="144" t="s">
        <v>331</v>
      </c>
      <c r="E427" s="174"/>
    </row>
    <row r="428" spans="1:5" ht="12.75" customHeight="1" x14ac:dyDescent="0.25">
      <c r="A428" s="147">
        <v>14276</v>
      </c>
      <c r="B428" s="148">
        <v>194146000.69999999</v>
      </c>
      <c r="C428" s="144" t="s">
        <v>332</v>
      </c>
      <c r="E428" s="176"/>
    </row>
    <row r="429" spans="1:5" ht="12.75" customHeight="1" x14ac:dyDescent="0.25">
      <c r="A429" s="147">
        <v>14304</v>
      </c>
      <c r="B429" s="148">
        <v>191340165.16999999</v>
      </c>
      <c r="C429" s="144" t="s">
        <v>332</v>
      </c>
      <c r="E429" s="174"/>
    </row>
    <row r="430" spans="1:5" ht="12.75" customHeight="1" x14ac:dyDescent="0.25">
      <c r="A430" s="147">
        <v>14335</v>
      </c>
      <c r="B430" s="148">
        <v>191304289.11000001</v>
      </c>
      <c r="C430" s="144" t="s">
        <v>332</v>
      </c>
      <c r="E430" s="174"/>
    </row>
    <row r="431" spans="1:5" ht="12.75" customHeight="1" x14ac:dyDescent="0.25">
      <c r="A431" s="147">
        <v>14365</v>
      </c>
      <c r="B431" s="148">
        <v>190767111.56</v>
      </c>
      <c r="C431" s="144" t="s">
        <v>332</v>
      </c>
      <c r="E431" s="174"/>
    </row>
    <row r="432" spans="1:5" ht="12.75" customHeight="1" x14ac:dyDescent="0.25">
      <c r="A432" s="147">
        <v>14396</v>
      </c>
      <c r="B432" s="148">
        <v>190411593.81</v>
      </c>
      <c r="C432" s="144" t="s">
        <v>332</v>
      </c>
      <c r="E432" s="174"/>
    </row>
    <row r="433" spans="1:5" ht="12.75" customHeight="1" x14ac:dyDescent="0.25">
      <c r="A433" s="147">
        <v>14426</v>
      </c>
      <c r="B433" s="148">
        <v>191086195.09999999</v>
      </c>
      <c r="C433" s="144" t="s">
        <v>332</v>
      </c>
      <c r="E433" s="174"/>
    </row>
    <row r="434" spans="1:5" ht="12.75" customHeight="1" x14ac:dyDescent="0.25">
      <c r="A434" s="147">
        <v>14457</v>
      </c>
      <c r="B434" s="148">
        <v>190968849.18000001</v>
      </c>
      <c r="C434" s="144" t="s">
        <v>332</v>
      </c>
      <c r="E434" s="174"/>
    </row>
    <row r="435" spans="1:5" ht="12.75" customHeight="1" x14ac:dyDescent="0.25">
      <c r="A435" s="147">
        <v>14488</v>
      </c>
      <c r="B435" s="148">
        <v>188745501.15000001</v>
      </c>
      <c r="C435" s="144" t="s">
        <v>332</v>
      </c>
      <c r="E435" s="174"/>
    </row>
    <row r="436" spans="1:5" ht="12.75" customHeight="1" x14ac:dyDescent="0.25">
      <c r="A436" s="147">
        <v>14518</v>
      </c>
      <c r="B436" s="148">
        <v>191751493.72999999</v>
      </c>
      <c r="C436" s="144" t="s">
        <v>332</v>
      </c>
      <c r="E436" s="174"/>
    </row>
    <row r="437" spans="1:5" ht="12.75" customHeight="1" x14ac:dyDescent="0.25">
      <c r="A437" s="147">
        <v>14549</v>
      </c>
      <c r="B437" s="148">
        <v>192662277.56999999</v>
      </c>
      <c r="C437" s="144" t="s">
        <v>332</v>
      </c>
      <c r="E437" s="174"/>
    </row>
    <row r="438" spans="1:5" ht="12.75" customHeight="1" x14ac:dyDescent="0.25">
      <c r="A438" s="147">
        <v>14579</v>
      </c>
      <c r="B438" s="148">
        <v>195515278.83000001</v>
      </c>
      <c r="C438" s="144" t="s">
        <v>332</v>
      </c>
      <c r="E438" s="174"/>
    </row>
    <row r="439" spans="1:5" ht="12.75" customHeight="1" x14ac:dyDescent="0.25">
      <c r="A439" s="147">
        <v>14610</v>
      </c>
      <c r="B439" s="148">
        <v>202021853.33000001</v>
      </c>
      <c r="C439" s="144" t="s">
        <v>332</v>
      </c>
      <c r="E439" s="174"/>
    </row>
    <row r="440" spans="1:5" ht="12.75" customHeight="1" x14ac:dyDescent="0.25">
      <c r="A440" s="147">
        <v>14641</v>
      </c>
      <c r="B440" s="148">
        <v>192035585.11000001</v>
      </c>
      <c r="C440" s="144" t="s">
        <v>332</v>
      </c>
      <c r="E440" s="174"/>
    </row>
    <row r="441" spans="1:5" ht="12.75" customHeight="1" x14ac:dyDescent="0.25">
      <c r="A441" s="147">
        <v>14670</v>
      </c>
      <c r="B441" s="148">
        <v>184598942.18000001</v>
      </c>
      <c r="C441" s="144" t="s">
        <v>332</v>
      </c>
      <c r="E441" s="174"/>
    </row>
    <row r="442" spans="1:5" ht="12.75" customHeight="1" x14ac:dyDescent="0.25">
      <c r="A442" s="147">
        <v>14701</v>
      </c>
      <c r="B442" s="148">
        <v>185523239.49000001</v>
      </c>
      <c r="C442" s="144" t="s">
        <v>332</v>
      </c>
      <c r="E442" s="174"/>
    </row>
    <row r="443" spans="1:5" ht="12.75" customHeight="1" x14ac:dyDescent="0.25">
      <c r="A443" s="147">
        <v>14731</v>
      </c>
      <c r="B443" s="148">
        <v>181185631.13</v>
      </c>
      <c r="C443" s="144" t="s">
        <v>332</v>
      </c>
      <c r="E443" s="174"/>
    </row>
    <row r="444" spans="1:5" ht="12.75" customHeight="1" x14ac:dyDescent="0.25">
      <c r="A444" s="147">
        <v>14762</v>
      </c>
      <c r="B444" s="148">
        <v>181852896.03</v>
      </c>
      <c r="C444" s="144" t="s">
        <v>332</v>
      </c>
      <c r="E444" s="174"/>
    </row>
    <row r="445" spans="1:5" ht="12.75" customHeight="1" x14ac:dyDescent="0.25">
      <c r="A445" s="147">
        <v>14792</v>
      </c>
      <c r="B445" s="148">
        <v>183117648.38</v>
      </c>
      <c r="C445" s="144" t="s">
        <v>332</v>
      </c>
      <c r="E445" s="174"/>
    </row>
    <row r="446" spans="1:5" ht="12.75" customHeight="1" x14ac:dyDescent="0.25">
      <c r="A446" s="147">
        <v>14823</v>
      </c>
      <c r="E446" s="174"/>
    </row>
    <row r="447" spans="1:5" ht="12.75" customHeight="1" x14ac:dyDescent="0.25">
      <c r="A447" s="147">
        <v>14854</v>
      </c>
      <c r="E447" s="174"/>
    </row>
    <row r="448" spans="1:5" ht="12.75" customHeight="1" x14ac:dyDescent="0.25">
      <c r="A448" s="147">
        <v>14884</v>
      </c>
      <c r="E448" s="174"/>
    </row>
    <row r="449" spans="1:8" ht="12.75" customHeight="1" x14ac:dyDescent="0.25">
      <c r="A449" s="147">
        <v>14915</v>
      </c>
      <c r="E449" s="174"/>
    </row>
    <row r="450" spans="1:8" ht="12.75" customHeight="1" x14ac:dyDescent="0.25">
      <c r="A450" s="147">
        <v>14945</v>
      </c>
      <c r="E450" s="174"/>
    </row>
    <row r="451" spans="1:8" ht="12.75" customHeight="1" x14ac:dyDescent="0.25">
      <c r="A451" s="147">
        <v>14976</v>
      </c>
      <c r="E451" s="174"/>
      <c r="F451" s="149">
        <v>144400000</v>
      </c>
      <c r="G451" s="144" t="s">
        <v>338</v>
      </c>
      <c r="H451" s="144" t="s">
        <v>340</v>
      </c>
    </row>
    <row r="452" spans="1:8" ht="12.75" customHeight="1" x14ac:dyDescent="0.25">
      <c r="A452" s="147">
        <v>15007</v>
      </c>
      <c r="E452" s="174"/>
    </row>
    <row r="453" spans="1:8" ht="12.75" customHeight="1" x14ac:dyDescent="0.25">
      <c r="A453" s="147">
        <v>15035</v>
      </c>
      <c r="E453" s="174"/>
    </row>
    <row r="454" spans="1:8" ht="12.75" customHeight="1" x14ac:dyDescent="0.25">
      <c r="A454" s="147">
        <v>15066</v>
      </c>
      <c r="E454" s="174"/>
    </row>
    <row r="455" spans="1:8" ht="12.75" customHeight="1" x14ac:dyDescent="0.25">
      <c r="A455" s="147">
        <v>15096</v>
      </c>
      <c r="E455" s="174"/>
    </row>
    <row r="456" spans="1:8" ht="12.75" customHeight="1" x14ac:dyDescent="0.25">
      <c r="A456" s="147">
        <v>15127</v>
      </c>
      <c r="E456" s="174"/>
    </row>
    <row r="457" spans="1:8" ht="12.75" customHeight="1" x14ac:dyDescent="0.25">
      <c r="A457" s="147">
        <v>15157</v>
      </c>
      <c r="B457" s="211">
        <v>183145861</v>
      </c>
      <c r="C457" s="208" t="s">
        <v>478</v>
      </c>
      <c r="E457" s="174"/>
      <c r="F457" s="149">
        <v>145700000</v>
      </c>
      <c r="G457" s="144" t="s">
        <v>338</v>
      </c>
      <c r="H457" s="144" t="s">
        <v>340</v>
      </c>
    </row>
    <row r="458" spans="1:8" ht="12.75" customHeight="1" x14ac:dyDescent="0.25">
      <c r="A458" s="147">
        <v>15188</v>
      </c>
      <c r="E458" s="174"/>
    </row>
    <row r="459" spans="1:8" ht="12.75" customHeight="1" x14ac:dyDescent="0.25">
      <c r="A459" s="147">
        <v>15219</v>
      </c>
      <c r="E459" s="174"/>
    </row>
    <row r="460" spans="1:8" ht="12.75" customHeight="1" x14ac:dyDescent="0.25">
      <c r="A460" s="147">
        <v>15249</v>
      </c>
      <c r="B460" s="126">
        <v>200445432</v>
      </c>
      <c r="C460" s="113" t="s">
        <v>285</v>
      </c>
      <c r="E460" s="174"/>
    </row>
    <row r="461" spans="1:8" ht="12.75" customHeight="1" x14ac:dyDescent="0.25">
      <c r="A461" s="147">
        <v>15280</v>
      </c>
      <c r="E461" s="174"/>
    </row>
    <row r="462" spans="1:8" ht="12.75" customHeight="1" x14ac:dyDescent="0.25">
      <c r="A462" s="147">
        <v>15310</v>
      </c>
      <c r="E462" s="174"/>
    </row>
    <row r="463" spans="1:8" ht="12.75" customHeight="1" x14ac:dyDescent="0.25">
      <c r="A463" s="147">
        <v>15341</v>
      </c>
      <c r="B463" s="148">
        <v>253045915.15000001</v>
      </c>
      <c r="C463" s="144" t="s">
        <v>292</v>
      </c>
      <c r="D463" s="217">
        <v>15338</v>
      </c>
      <c r="E463" s="174"/>
    </row>
    <row r="464" spans="1:8" ht="12.75" customHeight="1" x14ac:dyDescent="0.25">
      <c r="A464" s="147">
        <v>15372</v>
      </c>
      <c r="B464" s="148"/>
      <c r="E464" s="174"/>
      <c r="F464" s="145">
        <v>8747000</v>
      </c>
      <c r="G464" s="144" t="s">
        <v>296</v>
      </c>
      <c r="H464" s="144" t="s">
        <v>337</v>
      </c>
    </row>
    <row r="465" spans="1:8" ht="12.75" customHeight="1" x14ac:dyDescent="0.25">
      <c r="A465" s="147">
        <v>15400</v>
      </c>
      <c r="B465" s="148"/>
      <c r="E465" s="174"/>
      <c r="F465" s="145">
        <v>17983000</v>
      </c>
      <c r="G465" s="144" t="s">
        <v>296</v>
      </c>
      <c r="H465" s="144" t="s">
        <v>337</v>
      </c>
    </row>
    <row r="466" spans="1:8" ht="12.75" customHeight="1" x14ac:dyDescent="0.25">
      <c r="A466" s="147">
        <v>15431</v>
      </c>
      <c r="B466" s="148"/>
      <c r="E466" s="174"/>
      <c r="F466" s="145">
        <v>27736000</v>
      </c>
      <c r="G466" s="144" t="s">
        <v>296</v>
      </c>
      <c r="H466" s="144" t="s">
        <v>337</v>
      </c>
    </row>
    <row r="467" spans="1:8" ht="12.75" customHeight="1" x14ac:dyDescent="0.25">
      <c r="A467" s="147">
        <v>15461</v>
      </c>
      <c r="B467" s="148"/>
      <c r="E467" s="174"/>
      <c r="F467" s="145">
        <v>38034000</v>
      </c>
      <c r="G467" s="144" t="s">
        <v>296</v>
      </c>
      <c r="H467" s="144" t="s">
        <v>337</v>
      </c>
    </row>
    <row r="468" spans="1:8" ht="12.75" customHeight="1" x14ac:dyDescent="0.25">
      <c r="A468" s="147">
        <v>15492</v>
      </c>
      <c r="B468" s="148"/>
      <c r="E468" s="174"/>
      <c r="F468" s="145">
        <v>48908000</v>
      </c>
      <c r="G468" s="144" t="s">
        <v>296</v>
      </c>
      <c r="H468" s="144" t="s">
        <v>337</v>
      </c>
    </row>
    <row r="469" spans="1:8" ht="12.75" customHeight="1" x14ac:dyDescent="0.25">
      <c r="A469" s="147">
        <v>15522</v>
      </c>
      <c r="B469" s="148"/>
      <c r="E469" s="174"/>
      <c r="F469" s="145">
        <v>60391000</v>
      </c>
      <c r="G469" s="144" t="s">
        <v>296</v>
      </c>
      <c r="H469" s="144" t="s">
        <v>337</v>
      </c>
    </row>
    <row r="470" spans="1:8" ht="12.75" customHeight="1" x14ac:dyDescent="0.25">
      <c r="A470" s="147">
        <v>15553</v>
      </c>
      <c r="B470" s="148"/>
      <c r="E470" s="174"/>
      <c r="F470" s="145">
        <v>72515000</v>
      </c>
      <c r="G470" s="144" t="s">
        <v>296</v>
      </c>
      <c r="H470" s="144" t="s">
        <v>337</v>
      </c>
    </row>
    <row r="471" spans="1:8" ht="12.75" customHeight="1" x14ac:dyDescent="0.25">
      <c r="A471" s="147">
        <v>15584</v>
      </c>
      <c r="B471" s="148"/>
      <c r="E471" s="174"/>
      <c r="F471" s="145">
        <v>85318000</v>
      </c>
      <c r="G471" s="144" t="s">
        <v>296</v>
      </c>
      <c r="H471" s="144" t="s">
        <v>337</v>
      </c>
    </row>
    <row r="472" spans="1:8" ht="12.75" customHeight="1" x14ac:dyDescent="0.25">
      <c r="A472" s="147">
        <v>15614</v>
      </c>
      <c r="B472" s="148"/>
      <c r="E472" s="174"/>
      <c r="F472" s="145">
        <v>98837000</v>
      </c>
      <c r="G472" s="144" t="s">
        <v>296</v>
      </c>
      <c r="H472" s="144" t="s">
        <v>337</v>
      </c>
    </row>
    <row r="473" spans="1:8" ht="12.75" customHeight="1" x14ac:dyDescent="0.25">
      <c r="A473" s="147">
        <v>15645</v>
      </c>
      <c r="B473" s="148"/>
      <c r="E473" s="174"/>
      <c r="F473" s="145">
        <v>113112000</v>
      </c>
      <c r="G473" s="144" t="s">
        <v>296</v>
      </c>
      <c r="H473" s="144" t="s">
        <v>337</v>
      </c>
    </row>
    <row r="474" spans="1:8" ht="12.75" customHeight="1" x14ac:dyDescent="0.25">
      <c r="A474" s="147">
        <v>15675</v>
      </c>
      <c r="B474" s="148"/>
      <c r="E474" s="174"/>
      <c r="F474" s="145">
        <v>128185000</v>
      </c>
      <c r="G474" s="144" t="s">
        <v>296</v>
      </c>
      <c r="H474" s="144" t="s">
        <v>337</v>
      </c>
    </row>
    <row r="475" spans="1:8" ht="12.75" customHeight="1" x14ac:dyDescent="0.25">
      <c r="A475" s="147">
        <v>15706</v>
      </c>
      <c r="B475" s="148"/>
      <c r="E475" s="174"/>
      <c r="F475" s="145">
        <v>144101000</v>
      </c>
      <c r="G475" s="144" t="s">
        <v>296</v>
      </c>
      <c r="H475" s="144" t="s">
        <v>337</v>
      </c>
    </row>
    <row r="476" spans="1:8" ht="12.75" customHeight="1" x14ac:dyDescent="0.25">
      <c r="A476" s="147">
        <v>15737</v>
      </c>
      <c r="B476" s="148"/>
      <c r="E476" s="174"/>
      <c r="F476" s="145">
        <v>160908000</v>
      </c>
      <c r="G476" s="144" t="s">
        <v>296</v>
      </c>
      <c r="H476" s="144" t="s">
        <v>337</v>
      </c>
    </row>
    <row r="477" spans="1:8" ht="12.75" customHeight="1" x14ac:dyDescent="0.25">
      <c r="A477" s="147">
        <v>15765</v>
      </c>
      <c r="B477" s="148"/>
      <c r="E477" s="174"/>
      <c r="F477" s="145">
        <v>178655000</v>
      </c>
      <c r="G477" s="144" t="s">
        <v>296</v>
      </c>
      <c r="H477" s="144" t="s">
        <v>337</v>
      </c>
    </row>
    <row r="478" spans="1:8" ht="12.75" customHeight="1" x14ac:dyDescent="0.25">
      <c r="A478" s="147">
        <v>15796</v>
      </c>
      <c r="B478" s="148"/>
      <c r="E478" s="174"/>
      <c r="F478" s="145">
        <v>197394000</v>
      </c>
      <c r="G478" s="144" t="s">
        <v>296</v>
      </c>
      <c r="H478" s="144" t="s">
        <v>337</v>
      </c>
    </row>
    <row r="479" spans="1:8" ht="12.75" customHeight="1" x14ac:dyDescent="0.25">
      <c r="A479" s="147">
        <v>15826</v>
      </c>
      <c r="B479" s="148"/>
      <c r="E479" s="174"/>
      <c r="F479" s="145">
        <v>217181000</v>
      </c>
      <c r="G479" s="144" t="s">
        <v>296</v>
      </c>
      <c r="H479" s="144" t="s">
        <v>337</v>
      </c>
    </row>
    <row r="480" spans="1:8" ht="12.75" customHeight="1" x14ac:dyDescent="0.25">
      <c r="A480" s="147">
        <v>15857</v>
      </c>
      <c r="B480" s="148"/>
      <c r="E480" s="174"/>
      <c r="F480" s="145">
        <v>238075000</v>
      </c>
      <c r="G480" s="144" t="s">
        <v>296</v>
      </c>
      <c r="H480" s="144" t="s">
        <v>337</v>
      </c>
    </row>
    <row r="481" spans="1:8" ht="12.75" customHeight="1" x14ac:dyDescent="0.25">
      <c r="A481" s="147">
        <v>15887</v>
      </c>
      <c r="B481" s="148"/>
      <c r="E481" s="174"/>
      <c r="F481" s="145">
        <v>260138000</v>
      </c>
      <c r="G481" s="144" t="s">
        <v>296</v>
      </c>
      <c r="H481" s="144" t="s">
        <v>337</v>
      </c>
    </row>
    <row r="482" spans="1:8" ht="12.75" customHeight="1" x14ac:dyDescent="0.25">
      <c r="A482" s="147">
        <v>15918</v>
      </c>
      <c r="B482" s="148"/>
      <c r="E482" s="174"/>
      <c r="F482" s="145">
        <v>283435000</v>
      </c>
      <c r="G482" s="144" t="s">
        <v>296</v>
      </c>
      <c r="H482" s="144" t="s">
        <v>337</v>
      </c>
    </row>
    <row r="483" spans="1:8" ht="12.75" customHeight="1" x14ac:dyDescent="0.25">
      <c r="A483" s="147">
        <v>15949</v>
      </c>
      <c r="B483" s="148"/>
      <c r="E483" s="174"/>
      <c r="F483" s="145">
        <v>308035000</v>
      </c>
      <c r="G483" s="144" t="s">
        <v>296</v>
      </c>
      <c r="H483" s="144" t="s">
        <v>337</v>
      </c>
    </row>
    <row r="484" spans="1:8" ht="12.75" customHeight="1" x14ac:dyDescent="0.25">
      <c r="A484" s="147">
        <v>15979</v>
      </c>
      <c r="B484" s="148"/>
      <c r="E484" s="174"/>
      <c r="F484" s="145">
        <v>334011000</v>
      </c>
      <c r="G484" s="144" t="s">
        <v>296</v>
      </c>
      <c r="H484" s="144" t="s">
        <v>337</v>
      </c>
    </row>
    <row r="485" spans="1:8" ht="12.75" customHeight="1" x14ac:dyDescent="0.25">
      <c r="A485" s="147">
        <v>16010</v>
      </c>
      <c r="B485" s="148"/>
      <c r="E485" s="174"/>
      <c r="F485" s="145">
        <v>361440000</v>
      </c>
      <c r="G485" s="144" t="s">
        <v>296</v>
      </c>
      <c r="H485" s="144" t="s">
        <v>337</v>
      </c>
    </row>
    <row r="486" spans="1:8" ht="12.75" customHeight="1" x14ac:dyDescent="0.25">
      <c r="A486" s="147">
        <v>16040</v>
      </c>
      <c r="B486" s="148"/>
      <c r="E486" s="174"/>
      <c r="F486" s="145">
        <v>390405000</v>
      </c>
      <c r="G486" s="144" t="s">
        <v>296</v>
      </c>
      <c r="H486" s="144" t="s">
        <v>337</v>
      </c>
    </row>
    <row r="487" spans="1:8" ht="12.75" customHeight="1" x14ac:dyDescent="0.25">
      <c r="A487" s="147">
        <v>16071</v>
      </c>
      <c r="B487" s="148"/>
      <c r="E487" s="174"/>
      <c r="F487" s="145">
        <v>428847000</v>
      </c>
      <c r="G487" s="144" t="s">
        <v>296</v>
      </c>
      <c r="H487" s="144" t="s">
        <v>337</v>
      </c>
    </row>
    <row r="488" spans="1:8" ht="12.75" customHeight="1" x14ac:dyDescent="0.25">
      <c r="A488" s="147">
        <v>16102</v>
      </c>
      <c r="B488" s="148"/>
      <c r="E488" s="174"/>
      <c r="F488" s="145">
        <v>479872000</v>
      </c>
      <c r="G488" s="144" t="s">
        <v>296</v>
      </c>
      <c r="H488" s="144" t="s">
        <v>337</v>
      </c>
    </row>
    <row r="489" spans="1:8" ht="12.75" customHeight="1" x14ac:dyDescent="0.25">
      <c r="A489" s="147">
        <v>16131</v>
      </c>
      <c r="B489" s="148"/>
      <c r="E489" s="174"/>
      <c r="F489" s="145">
        <v>547599000</v>
      </c>
      <c r="G489" s="144" t="s">
        <v>296</v>
      </c>
      <c r="H489" s="144" t="s">
        <v>337</v>
      </c>
    </row>
    <row r="490" spans="1:8" ht="12.75" customHeight="1" x14ac:dyDescent="0.25">
      <c r="A490" s="147">
        <v>16162</v>
      </c>
      <c r="B490" s="148"/>
      <c r="E490" s="174"/>
      <c r="F490" s="145">
        <v>637494000</v>
      </c>
      <c r="G490" s="144" t="s">
        <v>296</v>
      </c>
      <c r="H490" s="144" t="s">
        <v>337</v>
      </c>
    </row>
    <row r="491" spans="1:8" ht="12.75" customHeight="1" x14ac:dyDescent="0.25">
      <c r="A491" s="147">
        <v>16192</v>
      </c>
      <c r="B491" s="148"/>
      <c r="E491" s="174"/>
      <c r="F491" s="145">
        <v>756804000</v>
      </c>
      <c r="G491" s="144" t="s">
        <v>296</v>
      </c>
      <c r="H491" s="144" t="s">
        <v>337</v>
      </c>
    </row>
    <row r="492" spans="1:8" ht="12.75" customHeight="1" x14ac:dyDescent="0.25">
      <c r="A492" s="147">
        <v>16223</v>
      </c>
      <c r="B492" s="148"/>
      <c r="E492" s="174"/>
      <c r="F492" s="145">
        <v>915184000</v>
      </c>
      <c r="G492" s="144" t="s">
        <v>296</v>
      </c>
      <c r="H492" s="144" t="s">
        <v>337</v>
      </c>
    </row>
    <row r="493" spans="1:8" ht="12.75" customHeight="1" x14ac:dyDescent="0.25">
      <c r="A493" s="147">
        <v>16253</v>
      </c>
      <c r="B493" s="148"/>
      <c r="E493" s="174"/>
      <c r="F493" s="145">
        <v>1125384000</v>
      </c>
      <c r="G493" s="144" t="s">
        <v>296</v>
      </c>
      <c r="H493" s="144" t="s">
        <v>337</v>
      </c>
    </row>
    <row r="494" spans="1:8" ht="12.75" customHeight="1" x14ac:dyDescent="0.25">
      <c r="A494" s="147">
        <v>16284</v>
      </c>
      <c r="B494" s="148"/>
      <c r="E494" s="174"/>
      <c r="F494" s="145">
        <v>1404364000</v>
      </c>
      <c r="G494" s="144" t="s">
        <v>296</v>
      </c>
      <c r="H494" s="144" t="s">
        <v>337</v>
      </c>
    </row>
    <row r="495" spans="1:8" ht="12.75" customHeight="1" x14ac:dyDescent="0.25">
      <c r="A495" s="147">
        <v>16315</v>
      </c>
      <c r="B495" s="148"/>
      <c r="E495" s="174"/>
      <c r="F495" s="145">
        <v>1774714000</v>
      </c>
      <c r="G495" s="144" t="s">
        <v>296</v>
      </c>
      <c r="H495" s="144" t="s">
        <v>337</v>
      </c>
    </row>
    <row r="496" spans="1:8" ht="12.75" customHeight="1" x14ac:dyDescent="0.25">
      <c r="A496" s="147">
        <v>16345</v>
      </c>
      <c r="B496" s="148"/>
      <c r="E496" s="174"/>
      <c r="F496" s="145">
        <v>2266254000</v>
      </c>
      <c r="G496" s="144" t="s">
        <v>296</v>
      </c>
      <c r="H496" s="144" t="s">
        <v>337</v>
      </c>
    </row>
    <row r="497" spans="1:8" ht="12.75" customHeight="1" x14ac:dyDescent="0.25">
      <c r="A497" s="147">
        <v>16376</v>
      </c>
      <c r="B497" s="148"/>
      <c r="E497" s="174"/>
      <c r="F497" s="145">
        <v>2918674000</v>
      </c>
      <c r="G497" s="144" t="s">
        <v>296</v>
      </c>
      <c r="H497" s="144" t="s">
        <v>337</v>
      </c>
    </row>
    <row r="498" spans="1:8" ht="12.75" customHeight="1" x14ac:dyDescent="0.25">
      <c r="A498" s="147">
        <v>16406</v>
      </c>
      <c r="B498" s="148"/>
      <c r="E498" s="174"/>
      <c r="F498" s="145">
        <v>3784644000</v>
      </c>
      <c r="G498" s="144" t="s">
        <v>296</v>
      </c>
      <c r="H498" s="144" t="s">
        <v>337</v>
      </c>
    </row>
    <row r="499" spans="1:8" ht="12.75" customHeight="1" x14ac:dyDescent="0.25">
      <c r="A499" s="147">
        <v>16437</v>
      </c>
      <c r="B499" s="148"/>
      <c r="E499" s="174"/>
      <c r="F499" s="145">
        <v>4993944000</v>
      </c>
      <c r="G499" s="144" t="s">
        <v>296</v>
      </c>
      <c r="H499" s="144" t="s">
        <v>337</v>
      </c>
    </row>
    <row r="500" spans="1:8" ht="12.75" customHeight="1" x14ac:dyDescent="0.25">
      <c r="A500" s="147">
        <v>16468</v>
      </c>
      <c r="B500" s="148"/>
      <c r="E500" s="174"/>
      <c r="F500" s="145">
        <v>6459644000</v>
      </c>
      <c r="G500" s="144" t="s">
        <v>296</v>
      </c>
      <c r="H500" s="144" t="s">
        <v>337</v>
      </c>
    </row>
    <row r="501" spans="1:8" ht="12.75" customHeight="1" x14ac:dyDescent="0.25">
      <c r="A501" s="147">
        <v>16496</v>
      </c>
      <c r="B501" s="148"/>
      <c r="E501" s="174"/>
      <c r="F501" s="145">
        <v>6709644000</v>
      </c>
      <c r="G501" s="144" t="s">
        <v>296</v>
      </c>
      <c r="H501" s="144" t="s">
        <v>337</v>
      </c>
    </row>
    <row r="502" spans="1:8" ht="12.75" customHeight="1" x14ac:dyDescent="0.25">
      <c r="A502" s="147">
        <v>16527</v>
      </c>
      <c r="B502" s="148"/>
      <c r="E502" s="174"/>
      <c r="F502" s="145">
        <v>6959644000</v>
      </c>
      <c r="G502" s="144" t="s">
        <v>296</v>
      </c>
      <c r="H502" s="144" t="s">
        <v>337</v>
      </c>
    </row>
    <row r="503" spans="1:8" ht="12.75" customHeight="1" x14ac:dyDescent="0.25">
      <c r="A503" s="147">
        <v>16557</v>
      </c>
      <c r="B503" s="148"/>
      <c r="E503" s="174"/>
      <c r="F503" s="145">
        <v>7209644000</v>
      </c>
      <c r="G503" s="144" t="s">
        <v>296</v>
      </c>
      <c r="H503" s="144" t="s">
        <v>337</v>
      </c>
    </row>
    <row r="504" spans="1:8" ht="12.75" customHeight="1" x14ac:dyDescent="0.25">
      <c r="A504" s="147">
        <v>16588</v>
      </c>
      <c r="B504" s="148"/>
      <c r="E504" s="174"/>
      <c r="F504" s="145">
        <v>7459644000</v>
      </c>
      <c r="G504" s="144" t="s">
        <v>296</v>
      </c>
      <c r="H504" s="144" t="s">
        <v>337</v>
      </c>
    </row>
    <row r="505" spans="1:8" ht="12.75" customHeight="1" x14ac:dyDescent="0.25">
      <c r="A505" s="147">
        <v>16618</v>
      </c>
      <c r="B505" s="148"/>
      <c r="E505" s="174"/>
      <c r="F505" s="145">
        <v>7709644000</v>
      </c>
      <c r="G505" s="144" t="s">
        <v>296</v>
      </c>
      <c r="H505" s="144" t="s">
        <v>337</v>
      </c>
    </row>
    <row r="506" spans="1:8" ht="12.75" customHeight="1" x14ac:dyDescent="0.25">
      <c r="A506" s="147">
        <v>16649</v>
      </c>
      <c r="B506" s="148"/>
      <c r="E506" s="174"/>
    </row>
    <row r="507" spans="1:8" ht="12.75" customHeight="1" x14ac:dyDescent="0.25">
      <c r="A507" s="147">
        <v>16680</v>
      </c>
      <c r="E507" s="174"/>
    </row>
    <row r="508" spans="1:8" ht="12.75" customHeight="1" x14ac:dyDescent="0.25">
      <c r="A508" s="147">
        <v>16710</v>
      </c>
      <c r="E508" s="174"/>
    </row>
    <row r="509" spans="1:8" ht="12.75" customHeight="1" x14ac:dyDescent="0.25">
      <c r="A509" s="147">
        <v>16741</v>
      </c>
      <c r="E509" s="174"/>
    </row>
    <row r="510" spans="1:8" ht="12.75" customHeight="1" x14ac:dyDescent="0.25">
      <c r="A510" s="147">
        <v>16771</v>
      </c>
      <c r="B510" s="148">
        <v>983273427.21000004</v>
      </c>
      <c r="C510" s="144" t="s">
        <v>292</v>
      </c>
      <c r="D510" s="151" t="s">
        <v>419</v>
      </c>
      <c r="E510" s="174"/>
    </row>
    <row r="511" spans="1:8" ht="12.75" customHeight="1" x14ac:dyDescent="0.25">
      <c r="A511" s="147">
        <v>16802</v>
      </c>
      <c r="B511" s="148">
        <v>980902102.39999998</v>
      </c>
      <c r="C511" s="144" t="s">
        <v>292</v>
      </c>
      <c r="D511" s="151" t="s">
        <v>420</v>
      </c>
      <c r="E511" s="174"/>
      <c r="F511" s="149">
        <v>881700</v>
      </c>
      <c r="G511" s="144" t="s">
        <v>338</v>
      </c>
      <c r="H511" s="144" t="s">
        <v>340</v>
      </c>
    </row>
    <row r="512" spans="1:8" ht="12.75" customHeight="1" x14ac:dyDescent="0.25">
      <c r="A512" s="147">
        <v>16833</v>
      </c>
      <c r="B512" s="148">
        <v>932795310.45000005</v>
      </c>
      <c r="C512" s="144" t="s">
        <v>292</v>
      </c>
      <c r="D512" s="151" t="s">
        <v>421</v>
      </c>
      <c r="E512" s="174"/>
      <c r="F512" s="149">
        <v>728500</v>
      </c>
      <c r="G512" s="144" t="s">
        <v>338</v>
      </c>
      <c r="H512" s="144" t="s">
        <v>340</v>
      </c>
    </row>
    <row r="513" spans="1:8" ht="12.75" customHeight="1" x14ac:dyDescent="0.25">
      <c r="A513" s="147">
        <v>16861</v>
      </c>
      <c r="B513" s="148">
        <v>870006572.98000002</v>
      </c>
      <c r="C513" s="144" t="s">
        <v>292</v>
      </c>
      <c r="D513" s="151" t="s">
        <v>426</v>
      </c>
      <c r="E513" s="174"/>
      <c r="F513" s="149">
        <v>677300</v>
      </c>
      <c r="G513" s="144" t="s">
        <v>338</v>
      </c>
      <c r="H513" s="144" t="s">
        <v>340</v>
      </c>
    </row>
    <row r="514" spans="1:8" ht="12.75" customHeight="1" x14ac:dyDescent="0.25">
      <c r="A514" s="147">
        <v>16892</v>
      </c>
      <c r="B514" s="148">
        <v>861522593.60000002</v>
      </c>
      <c r="C514" s="144" t="s">
        <v>292</v>
      </c>
      <c r="D514" s="151" t="s">
        <v>426</v>
      </c>
      <c r="E514" s="174"/>
      <c r="F514" s="149">
        <v>640400</v>
      </c>
      <c r="G514" s="144" t="s">
        <v>338</v>
      </c>
      <c r="H514" s="144" t="s">
        <v>340</v>
      </c>
    </row>
    <row r="515" spans="1:8" ht="12.75" customHeight="1" x14ac:dyDescent="0.25">
      <c r="A515" s="147">
        <v>16922</v>
      </c>
      <c r="B515" s="148">
        <v>815264608.24000001</v>
      </c>
      <c r="C515" s="144" t="s">
        <v>292</v>
      </c>
      <c r="D515" s="151" t="s">
        <v>426</v>
      </c>
      <c r="E515" s="174"/>
      <c r="F515" s="149">
        <v>613200</v>
      </c>
      <c r="G515" s="144" t="s">
        <v>338</v>
      </c>
      <c r="H515" s="144" t="s">
        <v>340</v>
      </c>
    </row>
    <row r="516" spans="1:8" ht="12.75" customHeight="1" x14ac:dyDescent="0.25">
      <c r="A516" s="147">
        <v>16953</v>
      </c>
      <c r="B516" s="148">
        <v>773228176.29999995</v>
      </c>
      <c r="C516" s="144" t="s">
        <v>292</v>
      </c>
      <c r="D516" s="151" t="s">
        <v>426</v>
      </c>
      <c r="E516" s="174"/>
      <c r="F516" s="149">
        <v>550300</v>
      </c>
      <c r="G516" s="144" t="s">
        <v>338</v>
      </c>
      <c r="H516" s="144" t="s">
        <v>340</v>
      </c>
    </row>
    <row r="517" spans="1:8" ht="12.75" customHeight="1" x14ac:dyDescent="0.25">
      <c r="A517" s="147">
        <v>16983</v>
      </c>
      <c r="B517" s="148">
        <v>750386659.85000002</v>
      </c>
      <c r="C517" s="144" t="s">
        <v>292</v>
      </c>
      <c r="D517" s="151" t="s">
        <v>426</v>
      </c>
      <c r="E517" s="174"/>
      <c r="F517" s="149">
        <v>510300</v>
      </c>
      <c r="G517" s="144" t="s">
        <v>338</v>
      </c>
      <c r="H517" s="144" t="s">
        <v>340</v>
      </c>
    </row>
    <row r="518" spans="1:8" ht="12.75" customHeight="1" x14ac:dyDescent="0.25">
      <c r="A518" s="147">
        <v>17014</v>
      </c>
      <c r="B518" s="148">
        <v>758921286.23000002</v>
      </c>
      <c r="C518" s="144" t="s">
        <v>292</v>
      </c>
      <c r="D518" s="151" t="s">
        <v>427</v>
      </c>
      <c r="E518" s="174"/>
      <c r="F518" s="149">
        <v>486200</v>
      </c>
      <c r="G518" s="144" t="s">
        <v>338</v>
      </c>
      <c r="H518" s="144" t="s">
        <v>340</v>
      </c>
    </row>
    <row r="519" spans="1:8" ht="12.75" customHeight="1" x14ac:dyDescent="0.25">
      <c r="A519" s="147">
        <v>17045</v>
      </c>
      <c r="B519" s="148">
        <v>744670516.52999997</v>
      </c>
      <c r="C519" s="144" t="s">
        <v>292</v>
      </c>
      <c r="D519" s="151" t="s">
        <v>426</v>
      </c>
      <c r="E519" s="174"/>
      <c r="F519" s="149">
        <v>482300</v>
      </c>
      <c r="G519" s="144" t="s">
        <v>338</v>
      </c>
      <c r="H519" s="144" t="s">
        <v>340</v>
      </c>
    </row>
    <row r="520" spans="1:8" ht="12.75" customHeight="1" x14ac:dyDescent="0.25">
      <c r="A520" s="147">
        <v>17075</v>
      </c>
      <c r="B520" s="148">
        <v>733221550.95000005</v>
      </c>
      <c r="C520" s="144" t="s">
        <v>292</v>
      </c>
      <c r="D520" s="151" t="s">
        <v>422</v>
      </c>
      <c r="E520" s="174"/>
      <c r="F520" s="149">
        <v>475100</v>
      </c>
      <c r="G520" s="144" t="s">
        <v>338</v>
      </c>
      <c r="H520" s="144" t="s">
        <v>340</v>
      </c>
    </row>
    <row r="521" spans="1:8" ht="12.75" customHeight="1" x14ac:dyDescent="0.25">
      <c r="A521" s="147">
        <v>17106</v>
      </c>
      <c r="B521" s="148">
        <v>730018408.52999997</v>
      </c>
      <c r="C521" s="144" t="s">
        <v>292</v>
      </c>
      <c r="D521" s="151" t="s">
        <v>423</v>
      </c>
      <c r="E521" s="174"/>
      <c r="F521" s="149">
        <v>471800</v>
      </c>
      <c r="G521" s="144" t="s">
        <v>338</v>
      </c>
      <c r="H521" s="144" t="s">
        <v>340</v>
      </c>
    </row>
    <row r="522" spans="1:8" ht="12.75" customHeight="1" x14ac:dyDescent="0.25">
      <c r="A522" s="147">
        <v>17136</v>
      </c>
      <c r="B522" s="148">
        <v>732533522.44000006</v>
      </c>
      <c r="C522" s="144" t="s">
        <v>292</v>
      </c>
      <c r="D522" s="151" t="s">
        <v>424</v>
      </c>
      <c r="E522" s="174"/>
      <c r="F522" s="149">
        <v>476800</v>
      </c>
      <c r="G522" s="144" t="s">
        <v>338</v>
      </c>
      <c r="H522" s="144" t="s">
        <v>340</v>
      </c>
    </row>
    <row r="523" spans="1:8" ht="12.75" customHeight="1" x14ac:dyDescent="0.25">
      <c r="A523" s="147">
        <v>17167</v>
      </c>
      <c r="B523" s="148">
        <v>731621467.62</v>
      </c>
      <c r="C523" s="144" t="s">
        <v>292</v>
      </c>
      <c r="D523" s="151" t="s">
        <v>425</v>
      </c>
      <c r="E523" s="174"/>
      <c r="F523" s="149">
        <v>539400</v>
      </c>
      <c r="G523" s="144" t="s">
        <v>338</v>
      </c>
      <c r="H523" s="144" t="s">
        <v>340</v>
      </c>
    </row>
    <row r="524" spans="1:8" ht="12.75" customHeight="1" x14ac:dyDescent="0.25">
      <c r="A524" s="147">
        <v>17198</v>
      </c>
      <c r="E524" s="174"/>
      <c r="F524" s="149">
        <v>480300</v>
      </c>
      <c r="G524" s="144" t="s">
        <v>338</v>
      </c>
      <c r="H524" s="144" t="s">
        <v>340</v>
      </c>
    </row>
    <row r="525" spans="1:8" ht="12.75" customHeight="1" x14ac:dyDescent="0.25">
      <c r="A525" s="147">
        <v>17226</v>
      </c>
      <c r="E525" s="174"/>
      <c r="F525" s="149">
        <v>491500</v>
      </c>
      <c r="G525" s="144" t="s">
        <v>338</v>
      </c>
      <c r="H525" s="144" t="s">
        <v>340</v>
      </c>
    </row>
    <row r="526" spans="1:8" ht="12.75" customHeight="1" x14ac:dyDescent="0.25">
      <c r="A526" s="147">
        <v>17257</v>
      </c>
      <c r="E526" s="174"/>
      <c r="F526" s="149">
        <v>493500</v>
      </c>
      <c r="G526" s="144" t="s">
        <v>338</v>
      </c>
      <c r="H526" s="144" t="s">
        <v>340</v>
      </c>
    </row>
    <row r="527" spans="1:8" ht="12.75" customHeight="1" x14ac:dyDescent="0.25">
      <c r="A527" s="147">
        <v>17287</v>
      </c>
      <c r="E527" s="174"/>
      <c r="F527" s="149">
        <v>490200</v>
      </c>
      <c r="G527" s="144" t="s">
        <v>338</v>
      </c>
      <c r="H527" s="144" t="s">
        <v>340</v>
      </c>
    </row>
    <row r="528" spans="1:8" ht="12.75" customHeight="1" x14ac:dyDescent="0.25">
      <c r="A528" s="147">
        <v>17318</v>
      </c>
      <c r="E528" s="174"/>
      <c r="F528" s="149">
        <v>481700</v>
      </c>
      <c r="G528" s="144" t="s">
        <v>338</v>
      </c>
      <c r="H528" s="144" t="s">
        <v>340</v>
      </c>
    </row>
    <row r="529" spans="1:8" ht="12.75" customHeight="1" x14ac:dyDescent="0.25">
      <c r="A529" s="147">
        <v>17348</v>
      </c>
      <c r="B529" s="143">
        <v>764000000</v>
      </c>
      <c r="C529" s="113" t="s">
        <v>405</v>
      </c>
      <c r="E529" s="174"/>
      <c r="F529" s="149">
        <v>478100</v>
      </c>
      <c r="G529" s="144" t="s">
        <v>338</v>
      </c>
      <c r="H529" s="144" t="s">
        <v>340</v>
      </c>
    </row>
    <row r="530" spans="1:8" ht="12.75" customHeight="1" x14ac:dyDescent="0.25">
      <c r="A530" s="147">
        <v>17379</v>
      </c>
      <c r="E530" s="174"/>
      <c r="F530" s="149">
        <v>473800</v>
      </c>
      <c r="G530" s="144" t="s">
        <v>338</v>
      </c>
      <c r="H530" s="144" t="s">
        <v>340</v>
      </c>
    </row>
    <row r="531" spans="1:8" ht="12.75" customHeight="1" x14ac:dyDescent="0.25">
      <c r="A531" s="147">
        <v>17410</v>
      </c>
      <c r="E531" s="174"/>
      <c r="F531" s="149">
        <v>488000</v>
      </c>
      <c r="G531" s="144" t="s">
        <v>338</v>
      </c>
      <c r="H531" s="144" t="s">
        <v>340</v>
      </c>
    </row>
    <row r="532" spans="1:8" ht="12.75" customHeight="1" x14ac:dyDescent="0.25">
      <c r="A532" s="147">
        <v>17440</v>
      </c>
      <c r="E532" s="174"/>
      <c r="F532" s="149">
        <v>494200</v>
      </c>
      <c r="G532" s="144" t="s">
        <v>338</v>
      </c>
      <c r="H532" s="144" t="s">
        <v>340</v>
      </c>
    </row>
    <row r="533" spans="1:8" ht="12.75" customHeight="1" x14ac:dyDescent="0.25">
      <c r="A533" s="147">
        <v>17471</v>
      </c>
      <c r="E533" s="174"/>
      <c r="F533" s="149">
        <v>509600</v>
      </c>
      <c r="G533" s="144" t="s">
        <v>338</v>
      </c>
      <c r="H533" s="144" t="s">
        <v>340</v>
      </c>
    </row>
    <row r="534" spans="1:8" ht="12.75" customHeight="1" x14ac:dyDescent="0.25">
      <c r="A534" s="147">
        <v>17501</v>
      </c>
      <c r="E534" s="174"/>
      <c r="F534" s="149">
        <v>533500</v>
      </c>
      <c r="G534" s="144" t="s">
        <v>338</v>
      </c>
      <c r="H534" s="144" t="s">
        <v>340</v>
      </c>
    </row>
    <row r="535" spans="1:8" ht="12.75" customHeight="1" x14ac:dyDescent="0.25">
      <c r="A535" s="147">
        <v>17532</v>
      </c>
      <c r="E535" s="174"/>
      <c r="F535" s="149">
        <v>558100</v>
      </c>
      <c r="G535" s="144" t="s">
        <v>338</v>
      </c>
      <c r="H535" s="144" t="s">
        <v>340</v>
      </c>
    </row>
    <row r="536" spans="1:8" ht="12.75" customHeight="1" x14ac:dyDescent="0.25">
      <c r="A536" s="147">
        <v>17563</v>
      </c>
      <c r="E536" s="174"/>
      <c r="F536" s="149">
        <v>551100</v>
      </c>
      <c r="G536" s="144" t="s">
        <v>338</v>
      </c>
      <c r="H536" s="144" t="s">
        <v>340</v>
      </c>
    </row>
    <row r="537" spans="1:8" ht="12.75" customHeight="1" x14ac:dyDescent="0.25">
      <c r="A537" s="147">
        <v>17592</v>
      </c>
      <c r="E537" s="174"/>
      <c r="F537" s="149">
        <v>541200</v>
      </c>
      <c r="G537" s="144" t="s">
        <v>338</v>
      </c>
      <c r="H537" s="144" t="s">
        <v>340</v>
      </c>
    </row>
    <row r="538" spans="1:8" ht="12.75" customHeight="1" x14ac:dyDescent="0.25">
      <c r="A538" s="147">
        <v>17623</v>
      </c>
      <c r="E538" s="174"/>
      <c r="F538" s="149">
        <v>539400</v>
      </c>
      <c r="G538" s="144" t="s">
        <v>338</v>
      </c>
      <c r="H538" s="144" t="s">
        <v>340</v>
      </c>
    </row>
    <row r="539" spans="1:8" ht="12.75" customHeight="1" x14ac:dyDescent="0.25">
      <c r="A539" s="147">
        <v>17653</v>
      </c>
      <c r="E539" s="174"/>
      <c r="F539" s="149">
        <v>541700</v>
      </c>
      <c r="G539" s="144" t="s">
        <v>339</v>
      </c>
      <c r="H539" s="144" t="s">
        <v>340</v>
      </c>
    </row>
    <row r="540" spans="1:8" ht="12.75" customHeight="1" x14ac:dyDescent="0.25">
      <c r="A540" s="147">
        <v>17684</v>
      </c>
      <c r="E540" s="174"/>
      <c r="F540" s="149">
        <v>518400</v>
      </c>
      <c r="G540" s="144" t="s">
        <v>339</v>
      </c>
      <c r="H540" s="144" t="s">
        <v>340</v>
      </c>
    </row>
    <row r="541" spans="1:8" ht="12.75" customHeight="1" x14ac:dyDescent="0.25">
      <c r="A541" s="147">
        <v>17714</v>
      </c>
      <c r="B541" s="172">
        <v>842330772.60000002</v>
      </c>
      <c r="C541" s="144" t="s">
        <v>297</v>
      </c>
      <c r="D541" s="144" t="s">
        <v>426</v>
      </c>
      <c r="E541" s="174"/>
      <c r="F541" s="149">
        <v>526100</v>
      </c>
      <c r="G541" s="144" t="s">
        <v>339</v>
      </c>
      <c r="H541" s="144" t="s">
        <v>340</v>
      </c>
    </row>
    <row r="542" spans="1:8" ht="12.75" customHeight="1" x14ac:dyDescent="0.25">
      <c r="A542" s="147">
        <v>17745</v>
      </c>
      <c r="E542" s="174"/>
      <c r="F542" s="149">
        <v>520700.00000000006</v>
      </c>
      <c r="G542" s="144" t="s">
        <v>339</v>
      </c>
      <c r="H542" s="144" t="s">
        <v>340</v>
      </c>
    </row>
    <row r="543" spans="1:8" ht="12.75" customHeight="1" x14ac:dyDescent="0.25">
      <c r="A543" s="147">
        <v>17776</v>
      </c>
      <c r="E543" s="174"/>
      <c r="F543" s="149">
        <v>532700</v>
      </c>
      <c r="G543" s="144" t="s">
        <v>339</v>
      </c>
      <c r="H543" s="144" t="s">
        <v>340</v>
      </c>
    </row>
    <row r="544" spans="1:8" ht="12.75" customHeight="1" x14ac:dyDescent="0.25">
      <c r="A544" s="147">
        <v>17806</v>
      </c>
      <c r="E544" s="174"/>
      <c r="F544" s="149">
        <v>540300</v>
      </c>
      <c r="G544" s="144" t="s">
        <v>339</v>
      </c>
      <c r="H544" s="144" t="s">
        <v>340</v>
      </c>
    </row>
    <row r="545" spans="1:8" ht="12.75" customHeight="1" x14ac:dyDescent="0.25">
      <c r="A545" s="147">
        <v>17837</v>
      </c>
      <c r="E545" s="174"/>
      <c r="F545" s="149">
        <v>555100</v>
      </c>
      <c r="G545" s="144" t="s">
        <v>339</v>
      </c>
      <c r="H545" s="144" t="s">
        <v>340</v>
      </c>
    </row>
    <row r="546" spans="1:8" ht="12.75" customHeight="1" x14ac:dyDescent="0.25">
      <c r="A546" s="147">
        <v>17867</v>
      </c>
      <c r="E546" s="174"/>
      <c r="F546" s="149">
        <v>558400</v>
      </c>
      <c r="G546" s="144" t="s">
        <v>339</v>
      </c>
      <c r="H546" s="144" t="s">
        <v>340</v>
      </c>
    </row>
    <row r="547" spans="1:8" ht="12.75" customHeight="1" x14ac:dyDescent="0.25">
      <c r="A547" s="147">
        <v>17898</v>
      </c>
      <c r="B547" s="143">
        <v>891700000</v>
      </c>
      <c r="C547" s="144" t="s">
        <v>298</v>
      </c>
      <c r="E547" s="174"/>
      <c r="F547" s="149">
        <v>575700</v>
      </c>
      <c r="G547" s="144" t="s">
        <v>339</v>
      </c>
      <c r="H547" s="144" t="s">
        <v>340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heetViews>
  <sheetFormatPr defaultRowHeight="15" x14ac:dyDescent="0.25"/>
  <cols>
    <col min="1" max="1" width="9.140625" style="171"/>
    <col min="2" max="2" width="9.5703125" style="171" customWidth="1"/>
    <col min="3" max="3" width="9.140625" style="295"/>
    <col min="4" max="16384" width="9.140625" style="171"/>
  </cols>
  <sheetData>
    <row r="1" spans="1:6" ht="18.75" x14ac:dyDescent="0.3">
      <c r="A1" s="294" t="s">
        <v>613</v>
      </c>
    </row>
    <row r="2" spans="1:6" x14ac:dyDescent="0.25">
      <c r="A2" s="296" t="s">
        <v>614</v>
      </c>
    </row>
    <row r="3" spans="1:6" x14ac:dyDescent="0.25">
      <c r="A3" s="296" t="s">
        <v>641</v>
      </c>
    </row>
    <row r="4" spans="1:6" x14ac:dyDescent="0.25">
      <c r="A4" s="296" t="s">
        <v>642</v>
      </c>
    </row>
    <row r="5" spans="1:6" x14ac:dyDescent="0.25">
      <c r="A5" s="296" t="s">
        <v>619</v>
      </c>
    </row>
    <row r="6" spans="1:6" x14ac:dyDescent="0.25">
      <c r="A6" s="296"/>
    </row>
    <row r="7" spans="1:6" ht="48.75" customHeight="1" x14ac:dyDescent="0.25">
      <c r="A7" s="297" t="s">
        <v>32</v>
      </c>
      <c r="B7" s="298" t="s">
        <v>620</v>
      </c>
      <c r="C7" s="299" t="s">
        <v>640</v>
      </c>
      <c r="F7" s="293" t="s">
        <v>632</v>
      </c>
    </row>
    <row r="8" spans="1:6" x14ac:dyDescent="0.25">
      <c r="A8" s="171">
        <v>1900</v>
      </c>
      <c r="B8" s="300">
        <v>0.62</v>
      </c>
      <c r="C8" s="301">
        <v>33.33</v>
      </c>
      <c r="D8" s="302"/>
      <c r="E8" s="302"/>
      <c r="F8" s="303" t="s">
        <v>621</v>
      </c>
    </row>
    <row r="9" spans="1:6" x14ac:dyDescent="0.25">
      <c r="A9" s="171">
        <v>1901</v>
      </c>
      <c r="B9" s="300">
        <v>0.6</v>
      </c>
      <c r="C9" s="301">
        <v>34.68</v>
      </c>
      <c r="D9" s="302"/>
      <c r="E9" s="302"/>
      <c r="F9" s="303" t="s">
        <v>622</v>
      </c>
    </row>
    <row r="10" spans="1:6" x14ac:dyDescent="0.25">
      <c r="A10" s="171">
        <v>1902</v>
      </c>
      <c r="B10" s="300">
        <v>0.53</v>
      </c>
      <c r="C10" s="301">
        <v>39.15</v>
      </c>
      <c r="D10" s="302"/>
      <c r="E10" s="302"/>
      <c r="F10" s="303" t="s">
        <v>623</v>
      </c>
    </row>
    <row r="11" spans="1:6" x14ac:dyDescent="0.25">
      <c r="A11" s="171">
        <v>1903</v>
      </c>
      <c r="B11" s="300">
        <v>0.54</v>
      </c>
      <c r="C11" s="301">
        <v>38.1</v>
      </c>
      <c r="D11" s="302"/>
      <c r="E11" s="302"/>
      <c r="F11" s="303" t="s">
        <v>624</v>
      </c>
    </row>
    <row r="12" spans="1:6" x14ac:dyDescent="0.25">
      <c r="A12" s="171">
        <v>1904</v>
      </c>
      <c r="B12" s="300">
        <v>0.57999999999999996</v>
      </c>
      <c r="C12" s="301">
        <v>35.700000000000003</v>
      </c>
      <c r="D12" s="302"/>
      <c r="E12" s="302"/>
      <c r="F12" s="303" t="s">
        <v>625</v>
      </c>
    </row>
    <row r="13" spans="1:6" x14ac:dyDescent="0.25">
      <c r="A13" s="171">
        <v>1905</v>
      </c>
      <c r="B13" s="300">
        <v>0.61</v>
      </c>
      <c r="C13" s="301">
        <v>33.869999999999997</v>
      </c>
      <c r="D13" s="302"/>
      <c r="E13" s="302"/>
      <c r="F13" s="303" t="s">
        <v>626</v>
      </c>
    </row>
    <row r="14" spans="1:6" x14ac:dyDescent="0.25">
      <c r="A14" s="171">
        <v>1906</v>
      </c>
      <c r="B14" s="300">
        <v>0.67</v>
      </c>
      <c r="C14" s="301">
        <v>30.54</v>
      </c>
      <c r="D14" s="302"/>
      <c r="E14" s="302"/>
      <c r="F14" s="303" t="s">
        <v>627</v>
      </c>
    </row>
    <row r="15" spans="1:6" x14ac:dyDescent="0.25">
      <c r="A15" s="171">
        <v>1907</v>
      </c>
      <c r="B15" s="300">
        <v>0.66</v>
      </c>
      <c r="C15" s="301">
        <v>31.24</v>
      </c>
      <c r="D15" s="302"/>
      <c r="E15" s="302"/>
      <c r="F15" s="303" t="s">
        <v>628</v>
      </c>
    </row>
    <row r="16" spans="1:6" x14ac:dyDescent="0.25">
      <c r="A16" s="171">
        <v>1908</v>
      </c>
      <c r="B16" s="300">
        <v>0.53</v>
      </c>
      <c r="C16" s="301">
        <v>38.64</v>
      </c>
      <c r="D16" s="302"/>
      <c r="E16" s="302"/>
      <c r="F16" s="303" t="s">
        <v>629</v>
      </c>
    </row>
    <row r="17" spans="1:6" x14ac:dyDescent="0.25">
      <c r="A17" s="171">
        <v>1909</v>
      </c>
      <c r="B17" s="300">
        <v>0.52</v>
      </c>
      <c r="C17" s="301">
        <v>39.74</v>
      </c>
      <c r="D17" s="302"/>
      <c r="E17" s="302"/>
      <c r="F17" s="303" t="s">
        <v>630</v>
      </c>
    </row>
    <row r="18" spans="1:6" x14ac:dyDescent="0.25">
      <c r="A18" s="171">
        <v>1910</v>
      </c>
      <c r="B18" s="300">
        <v>0.54</v>
      </c>
      <c r="C18" s="301">
        <v>38.22</v>
      </c>
      <c r="D18" s="302"/>
      <c r="E18" s="302"/>
      <c r="F18" s="303" t="s">
        <v>631</v>
      </c>
    </row>
    <row r="19" spans="1:6" x14ac:dyDescent="0.25">
      <c r="A19" s="171">
        <v>1911</v>
      </c>
      <c r="B19" s="300">
        <v>0.54</v>
      </c>
      <c r="C19" s="301">
        <v>38.33</v>
      </c>
      <c r="D19" s="302"/>
      <c r="E19" s="302"/>
    </row>
    <row r="20" spans="1:6" x14ac:dyDescent="0.25">
      <c r="A20" s="171">
        <v>1912</v>
      </c>
      <c r="B20" s="300">
        <v>0.62</v>
      </c>
      <c r="C20" s="301">
        <v>33.619999999999997</v>
      </c>
      <c r="D20" s="302"/>
      <c r="E20" s="302"/>
    </row>
    <row r="21" spans="1:6" x14ac:dyDescent="0.25">
      <c r="A21" s="171">
        <v>1913</v>
      </c>
      <c r="B21" s="300">
        <v>0.61</v>
      </c>
      <c r="C21" s="301">
        <v>34.19</v>
      </c>
      <c r="D21" s="302"/>
      <c r="E21" s="302"/>
    </row>
    <row r="22" spans="1:6" x14ac:dyDescent="0.25">
      <c r="A22" s="171">
        <v>1914</v>
      </c>
      <c r="B22" s="300">
        <v>0.56000000000000005</v>
      </c>
      <c r="C22" s="301">
        <v>37.369999999999997</v>
      </c>
      <c r="D22" s="302"/>
      <c r="E22" s="302"/>
    </row>
    <row r="23" spans="1:6" x14ac:dyDescent="0.25">
      <c r="A23" s="171">
        <v>1915</v>
      </c>
      <c r="B23" s="300">
        <v>0.51</v>
      </c>
      <c r="C23" s="301">
        <v>40.479999999999997</v>
      </c>
      <c r="D23" s="302"/>
      <c r="E23" s="302"/>
    </row>
    <row r="24" spans="1:6" x14ac:dyDescent="0.25">
      <c r="A24" s="171">
        <v>1916</v>
      </c>
      <c r="B24" s="300">
        <v>0.67</v>
      </c>
      <c r="C24" s="301">
        <v>30.78</v>
      </c>
      <c r="D24" s="302"/>
      <c r="E24" s="302"/>
    </row>
    <row r="25" spans="1:6" x14ac:dyDescent="0.25">
      <c r="A25" s="171">
        <v>1917</v>
      </c>
      <c r="B25" s="300">
        <v>0.84</v>
      </c>
      <c r="C25" s="301">
        <v>24.61</v>
      </c>
      <c r="D25" s="302"/>
      <c r="E25" s="302"/>
    </row>
    <row r="26" spans="1:6" x14ac:dyDescent="0.25">
      <c r="A26" s="171">
        <v>1918</v>
      </c>
      <c r="B26" s="300">
        <v>0.98</v>
      </c>
      <c r="C26" s="301">
        <v>21</v>
      </c>
      <c r="D26" s="302"/>
      <c r="E26" s="302"/>
    </row>
    <row r="27" spans="1:6" x14ac:dyDescent="0.25">
      <c r="A27" s="171">
        <v>1919</v>
      </c>
      <c r="B27" s="300">
        <v>1.1200000000000001</v>
      </c>
      <c r="C27" s="301">
        <v>18.440000000000001</v>
      </c>
      <c r="D27" s="302"/>
      <c r="E27" s="302"/>
    </row>
    <row r="28" spans="1:6" x14ac:dyDescent="0.25">
      <c r="A28" s="171">
        <v>1920</v>
      </c>
      <c r="B28" s="300">
        <v>1.02</v>
      </c>
      <c r="C28" s="301">
        <v>20.28</v>
      </c>
      <c r="D28" s="302"/>
      <c r="E28" s="302"/>
    </row>
    <row r="29" spans="1:6" x14ac:dyDescent="0.25">
      <c r="A29" s="171">
        <v>1921</v>
      </c>
      <c r="B29" s="300">
        <v>0.63</v>
      </c>
      <c r="C29" s="301">
        <v>32.76</v>
      </c>
      <c r="D29" s="302"/>
      <c r="E29" s="302"/>
    </row>
    <row r="30" spans="1:6" x14ac:dyDescent="0.25">
      <c r="A30" s="171">
        <v>1922</v>
      </c>
      <c r="B30" s="300">
        <v>0.68</v>
      </c>
      <c r="C30" s="301">
        <v>30.43</v>
      </c>
      <c r="D30" s="302"/>
      <c r="E30" s="302"/>
    </row>
    <row r="31" spans="1:6" x14ac:dyDescent="0.25">
      <c r="A31" s="171">
        <v>1923</v>
      </c>
      <c r="B31" s="300">
        <v>0.65</v>
      </c>
      <c r="C31" s="301">
        <v>31.69</v>
      </c>
      <c r="D31" s="302"/>
      <c r="E31" s="302"/>
    </row>
    <row r="32" spans="1:6" x14ac:dyDescent="0.25">
      <c r="A32" s="171">
        <v>1924</v>
      </c>
      <c r="B32" s="300">
        <v>0.67</v>
      </c>
      <c r="C32" s="301">
        <v>30.8</v>
      </c>
      <c r="D32" s="302"/>
      <c r="E32" s="302"/>
    </row>
    <row r="33" spans="1:5" x14ac:dyDescent="0.25">
      <c r="A33" s="171">
        <v>1925</v>
      </c>
      <c r="B33" s="300">
        <v>0.69</v>
      </c>
      <c r="C33" s="301">
        <v>29.78</v>
      </c>
      <c r="D33" s="302"/>
      <c r="E33" s="302"/>
    </row>
    <row r="34" spans="1:5" x14ac:dyDescent="0.25">
      <c r="A34" s="171">
        <v>1926</v>
      </c>
      <c r="B34" s="300">
        <v>0.62</v>
      </c>
      <c r="C34" s="301">
        <v>33.11</v>
      </c>
      <c r="D34" s="302"/>
      <c r="E34" s="302"/>
    </row>
    <row r="35" spans="1:5" x14ac:dyDescent="0.25">
      <c r="A35" s="171">
        <v>1927</v>
      </c>
      <c r="B35" s="300">
        <v>0.56999999999999995</v>
      </c>
      <c r="C35" s="301">
        <v>36.47</v>
      </c>
      <c r="D35" s="302"/>
      <c r="E35" s="302"/>
    </row>
    <row r="36" spans="1:5" x14ac:dyDescent="0.25">
      <c r="A36" s="171">
        <v>1928</v>
      </c>
      <c r="B36" s="300">
        <v>0.57999999999999996</v>
      </c>
      <c r="C36" s="301">
        <v>35.340000000000003</v>
      </c>
      <c r="D36" s="302"/>
      <c r="E36" s="302"/>
    </row>
    <row r="37" spans="1:5" x14ac:dyDescent="0.25">
      <c r="A37" s="171">
        <v>1929</v>
      </c>
      <c r="B37" s="300">
        <v>0.53</v>
      </c>
      <c r="C37" s="301">
        <v>38.78</v>
      </c>
      <c r="D37" s="302"/>
      <c r="E37" s="302"/>
    </row>
    <row r="38" spans="1:5" x14ac:dyDescent="0.25">
      <c r="A38" s="171">
        <v>1930</v>
      </c>
      <c r="B38" s="300">
        <v>0.38</v>
      </c>
      <c r="C38" s="301">
        <v>53.74</v>
      </c>
      <c r="D38" s="302"/>
      <c r="E38" s="302"/>
    </row>
    <row r="39" spans="1:5" x14ac:dyDescent="0.25">
      <c r="A39" s="171">
        <v>1931</v>
      </c>
      <c r="B39" s="300">
        <v>0.28999999999999998</v>
      </c>
      <c r="C39" s="301">
        <v>71.25</v>
      </c>
      <c r="D39" s="302"/>
      <c r="E39" s="302"/>
    </row>
    <row r="40" spans="1:5" x14ac:dyDescent="0.25">
      <c r="A40" s="171">
        <v>1932</v>
      </c>
      <c r="B40" s="300">
        <v>0.28000000000000003</v>
      </c>
      <c r="C40" s="301">
        <v>73.290000000000006</v>
      </c>
      <c r="D40" s="302"/>
      <c r="E40" s="302"/>
    </row>
    <row r="41" spans="1:5" x14ac:dyDescent="0.25">
      <c r="A41" s="171">
        <v>1933</v>
      </c>
      <c r="B41" s="300">
        <v>0.35</v>
      </c>
      <c r="C41" s="301">
        <v>69.83</v>
      </c>
      <c r="D41" s="302"/>
      <c r="E41" s="302"/>
    </row>
    <row r="42" spans="1:5" x14ac:dyDescent="0.25">
      <c r="A42" s="171">
        <v>1934</v>
      </c>
      <c r="B42" s="300">
        <v>0.48</v>
      </c>
      <c r="C42" s="301">
        <v>72.36</v>
      </c>
      <c r="D42" s="302"/>
      <c r="E42" s="302"/>
    </row>
    <row r="43" spans="1:5" x14ac:dyDescent="0.25">
      <c r="A43" s="171">
        <v>1935</v>
      </c>
      <c r="B43" s="300">
        <v>0.64</v>
      </c>
      <c r="C43" s="301">
        <v>54.19</v>
      </c>
      <c r="D43" s="302"/>
      <c r="E43" s="302"/>
    </row>
    <row r="44" spans="1:5" x14ac:dyDescent="0.25">
      <c r="A44" s="171">
        <v>1936</v>
      </c>
      <c r="B44" s="300">
        <v>0.45</v>
      </c>
      <c r="C44" s="301">
        <v>77.09</v>
      </c>
      <c r="D44" s="302"/>
      <c r="E44" s="302"/>
    </row>
    <row r="45" spans="1:5" x14ac:dyDescent="0.25">
      <c r="A45" s="171">
        <v>1937</v>
      </c>
      <c r="B45" s="300">
        <v>0.45</v>
      </c>
      <c r="C45" s="301">
        <v>77.44</v>
      </c>
      <c r="D45" s="302"/>
      <c r="E45" s="302"/>
    </row>
    <row r="46" spans="1:5" x14ac:dyDescent="0.25">
      <c r="A46" s="171">
        <v>1938</v>
      </c>
      <c r="B46" s="300">
        <v>0.43</v>
      </c>
      <c r="C46" s="301">
        <v>80.39</v>
      </c>
      <c r="D46" s="302"/>
      <c r="E46" s="302"/>
    </row>
    <row r="47" spans="1:5" x14ac:dyDescent="0.25">
      <c r="A47" s="171">
        <v>1939</v>
      </c>
      <c r="B47" s="300">
        <v>0.39</v>
      </c>
      <c r="C47" s="301">
        <v>88.84</v>
      </c>
      <c r="D47" s="302"/>
      <c r="E47" s="302"/>
    </row>
    <row r="48" spans="1:5" x14ac:dyDescent="0.25">
      <c r="A48" s="171">
        <v>1940</v>
      </c>
      <c r="B48" s="300">
        <v>0.35</v>
      </c>
      <c r="C48" s="301">
        <v>99.76</v>
      </c>
      <c r="D48" s="302"/>
      <c r="E48" s="302"/>
    </row>
    <row r="49" spans="1:5" x14ac:dyDescent="0.25">
      <c r="A49" s="171">
        <v>1941</v>
      </c>
      <c r="B49" s="300">
        <v>0.35</v>
      </c>
      <c r="C49" s="301">
        <v>99.73</v>
      </c>
      <c r="D49" s="302"/>
      <c r="E49" s="302"/>
    </row>
    <row r="50" spans="1:5" x14ac:dyDescent="0.25">
      <c r="A50" s="171">
        <v>1942</v>
      </c>
      <c r="B50" s="300">
        <v>0.38</v>
      </c>
      <c r="C50" s="301">
        <v>90.57</v>
      </c>
      <c r="D50" s="302"/>
      <c r="E50" s="302"/>
    </row>
    <row r="51" spans="1:5" x14ac:dyDescent="0.25">
      <c r="A51" s="171">
        <v>1943</v>
      </c>
      <c r="B51" s="300">
        <v>0.45</v>
      </c>
      <c r="C51" s="301">
        <v>77.67</v>
      </c>
      <c r="D51" s="302"/>
      <c r="E51" s="302"/>
    </row>
    <row r="52" spans="1:5" x14ac:dyDescent="0.25">
      <c r="A52" s="171">
        <v>1944</v>
      </c>
      <c r="B52" s="300">
        <v>0.45</v>
      </c>
      <c r="C52" s="301">
        <v>77.67</v>
      </c>
      <c r="D52" s="302"/>
      <c r="E52" s="302"/>
    </row>
    <row r="53" spans="1:5" x14ac:dyDescent="0.25">
      <c r="A53" s="171">
        <v>1945</v>
      </c>
      <c r="B53" s="300">
        <v>0.52</v>
      </c>
      <c r="C53" s="301">
        <v>67.400000000000006</v>
      </c>
      <c r="D53" s="302"/>
      <c r="E53" s="302"/>
    </row>
    <row r="54" spans="1:5" x14ac:dyDescent="0.25">
      <c r="A54" s="171">
        <v>1946</v>
      </c>
      <c r="B54" s="300">
        <v>0.8</v>
      </c>
      <c r="C54" s="301">
        <v>43.67</v>
      </c>
      <c r="D54" s="302"/>
      <c r="E54" s="302"/>
    </row>
    <row r="55" spans="1:5" x14ac:dyDescent="0.25">
      <c r="A55" s="171">
        <v>1947</v>
      </c>
      <c r="B55" s="300">
        <v>0.72</v>
      </c>
      <c r="C55" s="301">
        <v>48.73</v>
      </c>
      <c r="D55" s="302"/>
      <c r="E55" s="302"/>
    </row>
    <row r="56" spans="1:5" x14ac:dyDescent="0.25">
      <c r="A56" s="171">
        <v>1948</v>
      </c>
      <c r="B56" s="300">
        <v>0.74</v>
      </c>
      <c r="C56" s="301">
        <v>47.07</v>
      </c>
      <c r="D56" s="302"/>
      <c r="E56" s="30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8"/>
  <sheetViews>
    <sheetView zoomScaleNormal="100" workbookViewId="0">
      <pane xSplit="3" ySplit="4" topLeftCell="D5" activePane="bottomRight" state="frozen"/>
      <selection pane="topRight" activeCell="B1" sqref="B1"/>
      <selection pane="bottomLeft" activeCell="A3" sqref="A3"/>
      <selection pane="bottomRight" activeCell="AI81" sqref="AI81:AN82"/>
    </sheetView>
  </sheetViews>
  <sheetFormatPr defaultColWidth="20.7109375" defaultRowHeight="15" x14ac:dyDescent="0.25"/>
  <cols>
    <col min="1" max="1" width="5.7109375" style="123" customWidth="1"/>
    <col min="2" max="2" width="10.5703125" style="123" customWidth="1"/>
    <col min="3" max="3" width="45.7109375" style="123" customWidth="1"/>
    <col min="4" max="45" width="18.7109375" style="124" customWidth="1"/>
    <col min="46" max="48" width="18.7109375" style="126" customWidth="1"/>
    <col min="49" max="50" width="20.7109375" style="124"/>
    <col min="51" max="51" width="18.7109375" style="126" customWidth="1"/>
    <col min="52" max="16384" width="20.7109375" style="124"/>
  </cols>
  <sheetData>
    <row r="1" spans="1:52" s="108" customFormat="1" ht="18.75" x14ac:dyDescent="0.3">
      <c r="A1" s="55" t="s">
        <v>107</v>
      </c>
      <c r="B1" s="55"/>
      <c r="D1" s="109" t="s">
        <v>282</v>
      </c>
      <c r="N1" s="109" t="s">
        <v>278</v>
      </c>
      <c r="AM1" s="109" t="s">
        <v>278</v>
      </c>
      <c r="AP1" s="110" t="s">
        <v>279</v>
      </c>
      <c r="AQ1" s="111"/>
      <c r="AR1" s="111"/>
      <c r="AS1" s="111"/>
      <c r="AW1" s="109" t="s">
        <v>196</v>
      </c>
      <c r="AX1" s="111"/>
      <c r="AY1" s="109" t="s">
        <v>283</v>
      </c>
    </row>
    <row r="2" spans="1:52" s="108" customFormat="1" ht="15" customHeight="1" x14ac:dyDescent="0.25">
      <c r="A2" s="107" t="s">
        <v>525</v>
      </c>
      <c r="B2" s="107"/>
      <c r="D2" s="112" t="s">
        <v>702</v>
      </c>
      <c r="E2" s="112" t="s">
        <v>703</v>
      </c>
      <c r="F2" s="113" t="s">
        <v>704</v>
      </c>
      <c r="G2" s="113" t="s">
        <v>705</v>
      </c>
      <c r="H2" s="113" t="s">
        <v>706</v>
      </c>
      <c r="I2" s="113" t="s">
        <v>707</v>
      </c>
      <c r="J2" s="113" t="s">
        <v>708</v>
      </c>
      <c r="K2" s="113" t="s">
        <v>709</v>
      </c>
      <c r="L2" s="113" t="s">
        <v>710</v>
      </c>
      <c r="M2" s="113" t="s">
        <v>711</v>
      </c>
      <c r="N2" s="113" t="s">
        <v>497</v>
      </c>
      <c r="O2" s="113" t="s">
        <v>498</v>
      </c>
      <c r="P2" s="113" t="s">
        <v>499</v>
      </c>
      <c r="Q2" s="113" t="s">
        <v>666</v>
      </c>
      <c r="R2" s="113" t="s">
        <v>500</v>
      </c>
      <c r="S2" s="113" t="s">
        <v>501</v>
      </c>
      <c r="T2" s="113" t="s">
        <v>502</v>
      </c>
      <c r="U2" s="113" t="s">
        <v>503</v>
      </c>
      <c r="V2" s="113" t="s">
        <v>504</v>
      </c>
      <c r="W2" s="113" t="s">
        <v>505</v>
      </c>
      <c r="X2" s="108" t="s">
        <v>506</v>
      </c>
      <c r="Y2" s="108" t="s">
        <v>507</v>
      </c>
      <c r="Z2" s="108" t="s">
        <v>508</v>
      </c>
      <c r="AA2" s="113" t="s">
        <v>509</v>
      </c>
      <c r="AB2" s="113" t="s">
        <v>510</v>
      </c>
      <c r="AC2" s="113" t="s">
        <v>511</v>
      </c>
      <c r="AD2" s="113" t="s">
        <v>512</v>
      </c>
      <c r="AE2" s="113" t="s">
        <v>513</v>
      </c>
      <c r="AF2" s="113" t="s">
        <v>514</v>
      </c>
      <c r="AG2" s="113" t="s">
        <v>515</v>
      </c>
      <c r="AH2" s="113" t="s">
        <v>516</v>
      </c>
      <c r="AI2" s="113" t="s">
        <v>517</v>
      </c>
      <c r="AJ2" s="113" t="s">
        <v>518</v>
      </c>
      <c r="AK2" s="113" t="s">
        <v>519</v>
      </c>
      <c r="AL2" s="108" t="s">
        <v>520</v>
      </c>
      <c r="AM2" s="113" t="s">
        <v>603</v>
      </c>
      <c r="AN2" s="113" t="s">
        <v>604</v>
      </c>
      <c r="AO2" s="208" t="s">
        <v>478</v>
      </c>
      <c r="AP2" s="111"/>
      <c r="AQ2" s="111"/>
      <c r="AR2" s="111"/>
      <c r="AS2" s="111"/>
      <c r="AT2" s="108" t="s">
        <v>292</v>
      </c>
      <c r="AU2" s="113" t="s">
        <v>521</v>
      </c>
      <c r="AV2" s="113" t="s">
        <v>522</v>
      </c>
      <c r="AW2" s="113" t="s">
        <v>523</v>
      </c>
      <c r="AX2" s="111"/>
      <c r="AY2" s="113" t="s">
        <v>492</v>
      </c>
      <c r="AZ2" s="108" t="s">
        <v>292</v>
      </c>
    </row>
    <row r="3" spans="1:52" s="115" customFormat="1" ht="15" customHeight="1" x14ac:dyDescent="0.25">
      <c r="A3" s="114" t="s">
        <v>36</v>
      </c>
      <c r="B3" s="114"/>
      <c r="D3" s="116" t="s">
        <v>1</v>
      </c>
      <c r="E3" s="116" t="s">
        <v>1</v>
      </c>
      <c r="F3" s="116" t="s">
        <v>1</v>
      </c>
      <c r="G3" s="116" t="s">
        <v>1</v>
      </c>
      <c r="H3" s="116" t="s">
        <v>1</v>
      </c>
      <c r="I3" s="116" t="s">
        <v>1</v>
      </c>
      <c r="J3" s="116" t="s">
        <v>1</v>
      </c>
      <c r="K3" s="116" t="s">
        <v>1</v>
      </c>
      <c r="L3" s="116" t="s">
        <v>1</v>
      </c>
      <c r="M3" s="116" t="s">
        <v>1</v>
      </c>
      <c r="N3" s="116" t="s">
        <v>24</v>
      </c>
      <c r="O3" s="116" t="s">
        <v>24</v>
      </c>
      <c r="P3" s="116" t="s">
        <v>24</v>
      </c>
      <c r="Q3" s="116" t="s">
        <v>24</v>
      </c>
      <c r="R3" s="116" t="s">
        <v>24</v>
      </c>
      <c r="S3" s="116" t="s">
        <v>24</v>
      </c>
      <c r="T3" s="116" t="s">
        <v>24</v>
      </c>
      <c r="U3" s="116" t="s">
        <v>24</v>
      </c>
      <c r="V3" s="116" t="s">
        <v>24</v>
      </c>
      <c r="W3" s="116" t="s">
        <v>24</v>
      </c>
      <c r="X3" s="116" t="s">
        <v>24</v>
      </c>
      <c r="Y3" s="116" t="s">
        <v>24</v>
      </c>
      <c r="Z3" s="116" t="s">
        <v>24</v>
      </c>
      <c r="AA3" s="116" t="s">
        <v>24</v>
      </c>
      <c r="AB3" s="116" t="s">
        <v>24</v>
      </c>
      <c r="AC3" s="116" t="s">
        <v>24</v>
      </c>
      <c r="AD3" s="116" t="s">
        <v>24</v>
      </c>
      <c r="AE3" s="116" t="s">
        <v>24</v>
      </c>
      <c r="AF3" s="116" t="s">
        <v>24</v>
      </c>
      <c r="AG3" s="116" t="s">
        <v>24</v>
      </c>
      <c r="AH3" s="116" t="s">
        <v>24</v>
      </c>
      <c r="AI3" s="116" t="s">
        <v>24</v>
      </c>
      <c r="AJ3" s="116" t="s">
        <v>24</v>
      </c>
      <c r="AK3" s="116" t="s">
        <v>24</v>
      </c>
      <c r="AL3" s="116" t="s">
        <v>24</v>
      </c>
      <c r="AM3" s="116" t="s">
        <v>1</v>
      </c>
      <c r="AN3" s="116" t="s">
        <v>1</v>
      </c>
      <c r="AO3" s="209" t="s">
        <v>1</v>
      </c>
      <c r="AP3" s="117" t="s">
        <v>1</v>
      </c>
      <c r="AQ3" s="117" t="s">
        <v>1</v>
      </c>
      <c r="AR3" s="117" t="s">
        <v>1</v>
      </c>
      <c r="AS3" s="117" t="s">
        <v>1</v>
      </c>
      <c r="AT3" s="116" t="s">
        <v>1</v>
      </c>
      <c r="AU3" s="116" t="s">
        <v>1</v>
      </c>
      <c r="AV3" s="116" t="s">
        <v>1</v>
      </c>
      <c r="AW3" s="116" t="s">
        <v>24</v>
      </c>
      <c r="AX3" s="118"/>
      <c r="AY3" s="116" t="s">
        <v>281</v>
      </c>
      <c r="AZ3" s="116" t="s">
        <v>24</v>
      </c>
    </row>
    <row r="4" spans="1:52" s="119" customFormat="1" ht="15" customHeight="1" x14ac:dyDescent="0.25">
      <c r="D4" s="119">
        <v>1904</v>
      </c>
      <c r="E4" s="119">
        <v>1905</v>
      </c>
      <c r="F4" s="119">
        <v>1906</v>
      </c>
      <c r="G4" s="119">
        <v>1907</v>
      </c>
      <c r="H4" s="119">
        <v>1908</v>
      </c>
      <c r="I4" s="119">
        <v>1909</v>
      </c>
      <c r="J4" s="119">
        <v>1910</v>
      </c>
      <c r="K4" s="119">
        <v>1911</v>
      </c>
      <c r="L4" s="119">
        <v>1912</v>
      </c>
      <c r="M4" s="119">
        <v>1913</v>
      </c>
      <c r="N4" s="119">
        <v>1914</v>
      </c>
      <c r="O4" s="119">
        <v>1915</v>
      </c>
      <c r="P4" s="119">
        <v>1916</v>
      </c>
      <c r="Q4" s="119">
        <v>1917</v>
      </c>
      <c r="R4" s="119">
        <v>1918</v>
      </c>
      <c r="S4" s="119">
        <v>1919</v>
      </c>
      <c r="T4" s="119">
        <v>1920</v>
      </c>
      <c r="U4" s="119">
        <v>1921</v>
      </c>
      <c r="V4" s="119">
        <v>1922</v>
      </c>
      <c r="W4" s="119">
        <v>1923</v>
      </c>
      <c r="X4" s="119">
        <v>1924</v>
      </c>
      <c r="Y4" s="119">
        <v>1925</v>
      </c>
      <c r="Z4" s="119">
        <v>1926</v>
      </c>
      <c r="AA4" s="119">
        <v>1927</v>
      </c>
      <c r="AB4" s="119">
        <v>1928</v>
      </c>
      <c r="AC4" s="119">
        <v>1929</v>
      </c>
      <c r="AD4" s="119">
        <v>1930</v>
      </c>
      <c r="AE4" s="119">
        <v>1931</v>
      </c>
      <c r="AF4" s="119">
        <v>1932</v>
      </c>
      <c r="AG4" s="119">
        <v>1933</v>
      </c>
      <c r="AH4" s="119">
        <v>1934</v>
      </c>
      <c r="AI4" s="119">
        <v>1935</v>
      </c>
      <c r="AJ4" s="119">
        <v>1936</v>
      </c>
      <c r="AK4" s="119">
        <v>1937</v>
      </c>
      <c r="AL4" s="119">
        <v>1938</v>
      </c>
      <c r="AM4" s="119">
        <v>1939</v>
      </c>
      <c r="AN4" s="119">
        <v>1940</v>
      </c>
      <c r="AO4" s="210">
        <v>1941</v>
      </c>
      <c r="AP4" s="120">
        <v>1942</v>
      </c>
      <c r="AQ4" s="120">
        <v>1943</v>
      </c>
      <c r="AR4" s="120">
        <v>1944</v>
      </c>
      <c r="AS4" s="120">
        <v>1945</v>
      </c>
      <c r="AT4" s="121">
        <v>1946</v>
      </c>
      <c r="AU4" s="121">
        <v>1947</v>
      </c>
      <c r="AV4" s="121">
        <v>1948</v>
      </c>
      <c r="AW4" s="119">
        <v>1948</v>
      </c>
      <c r="AX4" s="120"/>
      <c r="AY4" s="121">
        <v>1941</v>
      </c>
      <c r="AZ4" s="121">
        <v>1941</v>
      </c>
    </row>
    <row r="5" spans="1:52" x14ac:dyDescent="0.25">
      <c r="A5" s="122" t="s">
        <v>51</v>
      </c>
      <c r="B5" s="122"/>
      <c r="AO5" s="179"/>
      <c r="AP5" s="125"/>
      <c r="AQ5" s="125"/>
      <c r="AR5" s="125"/>
      <c r="AS5" s="125"/>
      <c r="AX5" s="125"/>
    </row>
    <row r="6" spans="1:52" s="211" customFormat="1" x14ac:dyDescent="0.25">
      <c r="A6" s="123" t="s">
        <v>675</v>
      </c>
      <c r="B6" s="123"/>
      <c r="C6" s="123"/>
      <c r="D6" s="212">
        <v>12040000</v>
      </c>
      <c r="E6" s="212">
        <v>19994230</v>
      </c>
      <c r="F6" s="212">
        <f>F13-F9</f>
        <v>18821374.5</v>
      </c>
      <c r="G6" s="212">
        <f>G13-G9</f>
        <v>42945708</v>
      </c>
      <c r="H6" s="212">
        <f>H13-H9</f>
        <v>49125799</v>
      </c>
      <c r="I6" s="212">
        <f>I13-I9</f>
        <v>42972454</v>
      </c>
      <c r="J6" s="212">
        <v>52934590.5</v>
      </c>
      <c r="AO6" s="70"/>
      <c r="AP6" s="125"/>
      <c r="AQ6" s="125"/>
      <c r="AR6" s="125"/>
      <c r="AS6" s="125"/>
      <c r="AT6" s="126"/>
      <c r="AU6" s="126"/>
      <c r="AV6" s="126"/>
      <c r="AX6" s="125"/>
      <c r="AY6" s="126"/>
    </row>
    <row r="7" spans="1:52" x14ac:dyDescent="0.25">
      <c r="A7" s="123" t="s">
        <v>2</v>
      </c>
      <c r="J7" s="124">
        <v>26502590.5</v>
      </c>
      <c r="K7" s="124">
        <v>27339909.5</v>
      </c>
      <c r="L7" s="124">
        <v>28826331</v>
      </c>
      <c r="M7" s="124">
        <v>31568431</v>
      </c>
      <c r="N7" s="124">
        <v>33898721.5</v>
      </c>
      <c r="O7" s="124">
        <v>31113220</v>
      </c>
      <c r="P7" s="124">
        <v>42750000</v>
      </c>
      <c r="Q7" s="124">
        <v>70137150</v>
      </c>
      <c r="R7" s="124">
        <v>97014296</v>
      </c>
      <c r="S7" s="124">
        <v>100536323</v>
      </c>
      <c r="T7" s="128">
        <v>67533319</v>
      </c>
      <c r="U7" s="124">
        <v>39881019</v>
      </c>
      <c r="V7" s="124">
        <v>36581038</v>
      </c>
      <c r="W7" s="124">
        <v>62084788</v>
      </c>
      <c r="X7" s="124">
        <v>76442325</v>
      </c>
      <c r="Y7" s="124">
        <v>94595383</v>
      </c>
      <c r="Z7" s="124">
        <v>84788252</v>
      </c>
      <c r="AA7" s="124">
        <v>86669532</v>
      </c>
      <c r="AB7" s="124">
        <v>91975007</v>
      </c>
      <c r="AC7" s="124">
        <v>104475850</v>
      </c>
      <c r="AD7" s="124">
        <v>97922396</v>
      </c>
      <c r="AE7" s="124">
        <v>89134103</v>
      </c>
      <c r="AF7" s="124">
        <v>82295818</v>
      </c>
      <c r="AG7" s="124">
        <v>89036354</v>
      </c>
      <c r="AH7" s="124">
        <v>91223041</v>
      </c>
      <c r="AI7" s="124">
        <v>106369706</v>
      </c>
      <c r="AJ7" s="124">
        <v>132155000</v>
      </c>
      <c r="AK7" s="124">
        <v>145333275</v>
      </c>
      <c r="AL7" s="124">
        <v>174763462</v>
      </c>
      <c r="AN7" s="124">
        <v>158892607</v>
      </c>
      <c r="AO7" s="179"/>
      <c r="AP7" s="125"/>
      <c r="AQ7" s="125"/>
      <c r="AR7" s="125"/>
      <c r="AS7" s="125"/>
      <c r="AX7" s="125"/>
      <c r="AY7" s="124">
        <v>194261616</v>
      </c>
    </row>
    <row r="8" spans="1:52" x14ac:dyDescent="0.25">
      <c r="A8" s="127" t="s">
        <v>341</v>
      </c>
      <c r="B8" s="127"/>
      <c r="AF8" s="126"/>
      <c r="AO8" s="179"/>
      <c r="AP8" s="125"/>
      <c r="AQ8" s="125"/>
      <c r="AR8" s="125"/>
      <c r="AS8" s="125"/>
      <c r="AX8" s="125"/>
      <c r="AY8" s="124"/>
    </row>
    <row r="9" spans="1:52" s="211" customFormat="1" x14ac:dyDescent="0.25">
      <c r="A9" s="127"/>
      <c r="B9" s="127" t="s">
        <v>674</v>
      </c>
      <c r="C9" s="123"/>
      <c r="D9" s="124">
        <v>-6040000</v>
      </c>
      <c r="E9" s="124">
        <v>-9550000</v>
      </c>
      <c r="F9" s="211">
        <v>-5590000</v>
      </c>
      <c r="G9" s="211">
        <v>-21405000</v>
      </c>
      <c r="H9" s="128">
        <v>-30242100</v>
      </c>
      <c r="I9" s="128">
        <v>-20175000</v>
      </c>
      <c r="J9" s="211">
        <v>-26432000</v>
      </c>
      <c r="AF9" s="126"/>
      <c r="AO9" s="179"/>
      <c r="AP9" s="125"/>
      <c r="AQ9" s="125"/>
      <c r="AR9" s="125"/>
      <c r="AS9" s="125"/>
      <c r="AT9" s="126"/>
      <c r="AU9" s="126"/>
      <c r="AV9" s="126"/>
      <c r="AX9" s="125"/>
    </row>
    <row r="10" spans="1:52" x14ac:dyDescent="0.25">
      <c r="B10" s="123" t="s">
        <v>251</v>
      </c>
      <c r="J10" s="124">
        <v>-460750.5</v>
      </c>
      <c r="K10" s="124">
        <v>-1535375.5</v>
      </c>
      <c r="L10" s="124">
        <v>-2038275.5</v>
      </c>
      <c r="M10" s="124">
        <v>-3379769</v>
      </c>
      <c r="N10" s="124">
        <v>-3872807.5</v>
      </c>
      <c r="O10" s="124">
        <v>-1826364</v>
      </c>
      <c r="P10" s="124">
        <v>-974667</v>
      </c>
      <c r="Q10" s="124">
        <v>-625451</v>
      </c>
      <c r="R10" s="124">
        <v>-1901773</v>
      </c>
      <c r="S10" s="124">
        <v>-1006688</v>
      </c>
      <c r="T10" s="124">
        <v>-1058104</v>
      </c>
      <c r="U10" s="124">
        <v>-269402.7</v>
      </c>
      <c r="V10" s="124">
        <v>-542684</v>
      </c>
      <c r="W10" s="124">
        <v>-12614605</v>
      </c>
      <c r="X10" s="124">
        <v>-13588743</v>
      </c>
      <c r="Y10" s="124">
        <v>-22598471</v>
      </c>
      <c r="Z10" s="124">
        <v>-17955338</v>
      </c>
      <c r="AA10" s="124">
        <v>-10762076</v>
      </c>
      <c r="AB10" s="124">
        <v>-7571975</v>
      </c>
      <c r="AC10" s="124">
        <v>-20747530</v>
      </c>
      <c r="AD10" s="124">
        <v>-26376830</v>
      </c>
      <c r="AE10" s="124">
        <v>-24002620</v>
      </c>
      <c r="AF10" s="126">
        <v>-27592550</v>
      </c>
      <c r="AG10" s="124">
        <v>-22361298</v>
      </c>
      <c r="AH10" s="124">
        <v>-22092646</v>
      </c>
      <c r="AI10" s="124">
        <v>-19470950</v>
      </c>
      <c r="AJ10" s="124">
        <v>-23559443</v>
      </c>
      <c r="AK10" s="124">
        <v>-17366487</v>
      </c>
      <c r="AL10" s="124">
        <v>0</v>
      </c>
      <c r="AN10" s="124">
        <v>-1807180</v>
      </c>
      <c r="AO10" s="179"/>
      <c r="AP10" s="125"/>
      <c r="AQ10" s="125"/>
      <c r="AR10" s="125"/>
      <c r="AS10" s="125"/>
      <c r="AX10" s="125"/>
      <c r="AY10" s="124">
        <v>-21446695</v>
      </c>
    </row>
    <row r="11" spans="1:52" x14ac:dyDescent="0.25">
      <c r="B11" s="123" t="s">
        <v>28</v>
      </c>
      <c r="Y11" s="124">
        <v>-350000</v>
      </c>
      <c r="Z11" s="124">
        <v>-350000</v>
      </c>
      <c r="AA11" s="124">
        <v>-350000</v>
      </c>
      <c r="AB11" s="124">
        <v>-350000</v>
      </c>
      <c r="AC11" s="124">
        <v>-350000</v>
      </c>
      <c r="AD11" s="124">
        <v>-350000</v>
      </c>
      <c r="AE11" s="124">
        <v>-350000</v>
      </c>
      <c r="AF11" s="126">
        <v>-350000</v>
      </c>
      <c r="AG11" s="124">
        <v>-350000</v>
      </c>
      <c r="AH11" s="124">
        <v>-350000</v>
      </c>
      <c r="AI11" s="124">
        <v>-350000</v>
      </c>
      <c r="AJ11" s="124">
        <v>-350000</v>
      </c>
      <c r="AK11" s="124">
        <v>-357000</v>
      </c>
      <c r="AL11" s="124">
        <v>-364140</v>
      </c>
      <c r="AM11" s="135">
        <f>AVERAGE(AL11,AN11)</f>
        <v>-364140</v>
      </c>
      <c r="AN11" s="124">
        <v>-364140</v>
      </c>
      <c r="AO11" s="179"/>
      <c r="AP11" s="125"/>
      <c r="AQ11" s="125"/>
      <c r="AR11" s="125"/>
      <c r="AS11" s="125"/>
      <c r="AX11" s="125"/>
      <c r="AY11" s="124"/>
    </row>
    <row r="12" spans="1:52" x14ac:dyDescent="0.25">
      <c r="B12" s="123" t="s">
        <v>27</v>
      </c>
      <c r="AF12" s="126"/>
      <c r="AI12" s="126"/>
      <c r="AJ12" s="126"/>
      <c r="AL12" s="124" t="s">
        <v>26</v>
      </c>
      <c r="AN12" s="124">
        <v>-1257825</v>
      </c>
      <c r="AO12" s="179"/>
      <c r="AP12" s="125"/>
      <c r="AQ12" s="125"/>
      <c r="AR12" s="125"/>
      <c r="AS12" s="125"/>
      <c r="AX12" s="125"/>
      <c r="AY12" s="124"/>
    </row>
    <row r="13" spans="1:52" s="131" customFormat="1" x14ac:dyDescent="0.25">
      <c r="A13" s="122" t="s">
        <v>413</v>
      </c>
      <c r="B13" s="122"/>
      <c r="C13" s="122"/>
      <c r="D13" s="131">
        <v>6000000</v>
      </c>
      <c r="E13" s="131">
        <v>10444230</v>
      </c>
      <c r="F13" s="131">
        <v>13231374.5</v>
      </c>
      <c r="G13" s="131">
        <v>21540708</v>
      </c>
      <c r="H13" s="134">
        <v>18883699</v>
      </c>
      <c r="I13" s="131">
        <v>22797454</v>
      </c>
      <c r="J13" s="131">
        <v>26041840</v>
      </c>
      <c r="K13" s="131">
        <v>25804534</v>
      </c>
      <c r="L13" s="131">
        <v>26788055.5</v>
      </c>
      <c r="M13" s="131">
        <v>28188662</v>
      </c>
      <c r="N13" s="131">
        <v>30025914</v>
      </c>
      <c r="O13" s="131">
        <v>29286856</v>
      </c>
      <c r="P13" s="131">
        <v>41775333</v>
      </c>
      <c r="Q13" s="131">
        <v>69511699</v>
      </c>
      <c r="R13" s="131">
        <v>95112523</v>
      </c>
      <c r="S13" s="131">
        <v>99529635</v>
      </c>
      <c r="T13" s="131">
        <v>66475215</v>
      </c>
      <c r="U13" s="131">
        <v>39611616.299999997</v>
      </c>
      <c r="V13" s="131">
        <v>36038354</v>
      </c>
      <c r="W13" s="131">
        <v>49470183</v>
      </c>
      <c r="X13" s="131">
        <v>62853582</v>
      </c>
      <c r="Y13" s="131">
        <v>71646912</v>
      </c>
      <c r="Z13" s="131">
        <v>66482914</v>
      </c>
      <c r="AA13" s="131">
        <v>75557456</v>
      </c>
      <c r="AB13" s="131">
        <v>84053032</v>
      </c>
      <c r="AC13" s="131">
        <v>83378320</v>
      </c>
      <c r="AD13" s="131">
        <v>71195566</v>
      </c>
      <c r="AE13" s="131">
        <v>64781483</v>
      </c>
      <c r="AF13" s="131">
        <v>54353268</v>
      </c>
      <c r="AG13" s="131">
        <v>66325056</v>
      </c>
      <c r="AH13" s="131">
        <v>68780395</v>
      </c>
      <c r="AI13" s="131">
        <v>86548756</v>
      </c>
      <c r="AJ13" s="131">
        <v>108245557</v>
      </c>
      <c r="AK13" s="131">
        <v>127609788</v>
      </c>
      <c r="AL13" s="131">
        <v>174399322</v>
      </c>
      <c r="AM13" s="160">
        <v>162078886</v>
      </c>
      <c r="AN13" s="131">
        <v>155463462</v>
      </c>
      <c r="AO13" s="214">
        <v>155800000</v>
      </c>
      <c r="AP13" s="132"/>
      <c r="AQ13" s="132"/>
      <c r="AR13" s="132"/>
      <c r="AS13" s="132"/>
      <c r="AT13" s="133">
        <v>680528926</v>
      </c>
      <c r="AU13" s="133"/>
      <c r="AV13" s="134">
        <v>762147712</v>
      </c>
      <c r="AW13" s="131">
        <v>818500000</v>
      </c>
      <c r="AX13" s="132"/>
      <c r="AY13" s="131">
        <v>172814921</v>
      </c>
    </row>
    <row r="14" spans="1:52" x14ac:dyDescent="0.25">
      <c r="AF14" s="126"/>
      <c r="AG14" s="126"/>
      <c r="AI14" s="126"/>
      <c r="AJ14" s="126"/>
      <c r="AO14" s="179"/>
      <c r="AP14" s="125"/>
      <c r="AQ14" s="125"/>
      <c r="AR14" s="125"/>
      <c r="AS14" s="125"/>
      <c r="AX14" s="125"/>
      <c r="AY14" s="124"/>
    </row>
    <row r="15" spans="1:52" x14ac:dyDescent="0.25">
      <c r="A15" s="122" t="s">
        <v>410</v>
      </c>
      <c r="B15" s="122"/>
      <c r="AO15" s="179"/>
      <c r="AP15" s="125"/>
      <c r="AQ15" s="125"/>
      <c r="AR15" s="125"/>
      <c r="AS15" s="125"/>
      <c r="AX15" s="125"/>
      <c r="AY15" s="124"/>
    </row>
    <row r="16" spans="1:52" x14ac:dyDescent="0.25">
      <c r="A16" s="123" t="s">
        <v>258</v>
      </c>
      <c r="AC16" s="126"/>
      <c r="AF16" s="126"/>
      <c r="AG16" s="126"/>
      <c r="AI16" s="126"/>
      <c r="AJ16" s="126"/>
      <c r="AK16" s="126"/>
      <c r="AM16" s="126">
        <v>-326785.89</v>
      </c>
      <c r="AO16" s="179"/>
      <c r="AP16" s="125"/>
      <c r="AQ16" s="125"/>
      <c r="AR16" s="125"/>
      <c r="AS16" s="125"/>
      <c r="AX16" s="125"/>
      <c r="AY16" s="124"/>
    </row>
    <row r="17" spans="1:51" x14ac:dyDescent="0.25">
      <c r="B17" s="123" t="s">
        <v>452</v>
      </c>
      <c r="C17" s="124"/>
      <c r="D17" s="124">
        <v>15583000</v>
      </c>
      <c r="E17" s="124">
        <v>25227000</v>
      </c>
      <c r="F17" s="124">
        <v>26934635</v>
      </c>
      <c r="G17" s="124">
        <v>23835635</v>
      </c>
      <c r="H17" s="128">
        <v>24570435</v>
      </c>
      <c r="I17" s="128">
        <v>38974590</v>
      </c>
      <c r="J17" s="128">
        <v>44160017</v>
      </c>
      <c r="K17" s="128">
        <v>44648167</v>
      </c>
      <c r="L17" s="135">
        <v>44764983</v>
      </c>
      <c r="M17" s="135">
        <v>43940505</v>
      </c>
      <c r="N17" s="135">
        <v>44762753</v>
      </c>
      <c r="O17" s="135">
        <v>44689153</v>
      </c>
      <c r="P17" s="135">
        <v>29689153</v>
      </c>
      <c r="Q17" s="135">
        <v>26966101</v>
      </c>
      <c r="R17" s="135">
        <v>24566101</v>
      </c>
      <c r="S17" s="128">
        <v>24566101</v>
      </c>
      <c r="T17" s="128">
        <v>23866101</v>
      </c>
      <c r="U17" s="124">
        <v>22357825</v>
      </c>
      <c r="V17" s="124">
        <v>22357825</v>
      </c>
      <c r="W17" s="126">
        <v>22357825</v>
      </c>
      <c r="X17" s="126">
        <v>22357825</v>
      </c>
      <c r="Y17" s="126">
        <v>22357825</v>
      </c>
      <c r="Z17" s="126">
        <v>22357825</v>
      </c>
      <c r="AA17" s="126">
        <v>22357825</v>
      </c>
      <c r="AB17" s="126">
        <v>22307601</v>
      </c>
      <c r="AC17" s="126">
        <v>21889679</v>
      </c>
      <c r="AD17" s="126">
        <v>21889679</v>
      </c>
      <c r="AE17" s="126">
        <v>21889679</v>
      </c>
      <c r="AF17" s="126">
        <v>21889679</v>
      </c>
      <c r="AG17" s="126">
        <v>21889679</v>
      </c>
      <c r="AH17" s="126">
        <v>21889679</v>
      </c>
      <c r="AI17" s="126">
        <v>21812541</v>
      </c>
      <c r="AJ17" s="126">
        <v>21802541</v>
      </c>
      <c r="AK17" s="126">
        <v>21016037</v>
      </c>
      <c r="AL17" s="126">
        <v>20405400</v>
      </c>
      <c r="AM17" s="135">
        <f>AVERAGE(AL17,AN17)</f>
        <v>20405400</v>
      </c>
      <c r="AN17" s="126">
        <v>20405400</v>
      </c>
      <c r="AO17" s="179"/>
      <c r="AP17" s="125"/>
      <c r="AQ17" s="125"/>
      <c r="AR17" s="125"/>
      <c r="AS17" s="125"/>
      <c r="AX17" s="125"/>
      <c r="AY17" s="124">
        <v>4178357</v>
      </c>
    </row>
    <row r="18" spans="1:51" x14ac:dyDescent="0.25">
      <c r="B18" s="123" t="s">
        <v>186</v>
      </c>
      <c r="C18" s="124"/>
      <c r="D18" s="128" t="s">
        <v>453</v>
      </c>
      <c r="E18" s="124">
        <v>3054000</v>
      </c>
      <c r="F18" s="124">
        <v>3055221</v>
      </c>
      <c r="G18" s="124">
        <v>3374221</v>
      </c>
      <c r="H18" s="128">
        <v>3250941</v>
      </c>
      <c r="I18" s="128">
        <v>3235759.5</v>
      </c>
      <c r="J18" s="128">
        <v>3063922.5</v>
      </c>
      <c r="K18" s="128">
        <v>2431068</v>
      </c>
      <c r="L18" s="135">
        <v>2945422.5</v>
      </c>
      <c r="M18" s="135">
        <v>2911354</v>
      </c>
      <c r="N18" s="135">
        <v>2889701.5</v>
      </c>
      <c r="O18" s="135">
        <v>2877201.5</v>
      </c>
      <c r="P18" s="135">
        <v>2895201.5</v>
      </c>
      <c r="Q18" s="135">
        <v>3206545</v>
      </c>
      <c r="R18" s="135">
        <v>4306544.5</v>
      </c>
      <c r="S18" s="128">
        <v>4906674</v>
      </c>
      <c r="T18" s="128">
        <v>5116674</v>
      </c>
      <c r="U18" s="128">
        <v>6273828.5</v>
      </c>
      <c r="V18" s="124">
        <v>6273829</v>
      </c>
      <c r="W18" s="126">
        <v>6273829</v>
      </c>
      <c r="X18" s="126">
        <v>6273829</v>
      </c>
      <c r="Y18" s="126">
        <v>6273829</v>
      </c>
      <c r="Z18" s="126">
        <v>6273829</v>
      </c>
      <c r="AA18" s="126">
        <v>6273829</v>
      </c>
      <c r="AB18" s="126">
        <v>6272721</v>
      </c>
      <c r="AC18" s="126">
        <v>6272494.5</v>
      </c>
      <c r="AD18" s="126">
        <v>6272494.5</v>
      </c>
      <c r="AE18" s="126">
        <v>6272494.5</v>
      </c>
      <c r="AF18" s="126">
        <v>6272494.5</v>
      </c>
      <c r="AG18" s="126">
        <v>6272494.5</v>
      </c>
      <c r="AH18" s="126">
        <v>6272494.5</v>
      </c>
      <c r="AI18" s="126">
        <v>6272494.5</v>
      </c>
      <c r="AJ18" s="126">
        <v>6272494.5</v>
      </c>
      <c r="AK18" s="126">
        <v>6264810.5</v>
      </c>
      <c r="AL18" s="126">
        <v>6264299.5</v>
      </c>
      <c r="AM18" s="135">
        <f>AVERAGE(AL18,AN18)</f>
        <v>6264299.5</v>
      </c>
      <c r="AN18" s="126">
        <v>6264299.5</v>
      </c>
      <c r="AO18" s="179"/>
      <c r="AP18" s="125"/>
      <c r="AQ18" s="125"/>
      <c r="AR18" s="125"/>
      <c r="AS18" s="125"/>
      <c r="AX18" s="125"/>
      <c r="AY18" s="124">
        <v>4902828</v>
      </c>
    </row>
    <row r="19" spans="1:51" x14ac:dyDescent="0.25">
      <c r="B19" s="123" t="s">
        <v>409</v>
      </c>
      <c r="C19" s="124"/>
      <c r="D19" s="124">
        <v>3497500</v>
      </c>
      <c r="E19" s="128" t="s">
        <v>408</v>
      </c>
      <c r="F19" s="128" t="s">
        <v>408</v>
      </c>
      <c r="G19" s="128" t="s">
        <v>408</v>
      </c>
      <c r="H19" s="128" t="s">
        <v>408</v>
      </c>
      <c r="I19" s="128" t="s">
        <v>408</v>
      </c>
      <c r="J19" s="128" t="s">
        <v>408</v>
      </c>
      <c r="K19" s="128" t="s">
        <v>408</v>
      </c>
      <c r="L19" s="128" t="s">
        <v>408</v>
      </c>
      <c r="M19" s="128" t="s">
        <v>408</v>
      </c>
      <c r="N19" s="128" t="s">
        <v>408</v>
      </c>
      <c r="O19" s="128" t="s">
        <v>408</v>
      </c>
      <c r="P19" s="128" t="s">
        <v>408</v>
      </c>
      <c r="Q19" s="212" t="s">
        <v>408</v>
      </c>
      <c r="R19" s="128" t="s">
        <v>408</v>
      </c>
      <c r="S19" s="128" t="s">
        <v>408</v>
      </c>
      <c r="T19" s="128" t="s">
        <v>408</v>
      </c>
      <c r="U19" s="128">
        <v>8940674.1999999993</v>
      </c>
      <c r="V19" s="124">
        <v>8940673.6999999993</v>
      </c>
      <c r="W19" s="126">
        <v>8940673.6999999993</v>
      </c>
      <c r="X19" s="126">
        <v>8940673.6999999993</v>
      </c>
      <c r="Y19" s="126">
        <v>8940673.6999999993</v>
      </c>
      <c r="Z19" s="126">
        <v>8940673.6999999993</v>
      </c>
      <c r="AA19" s="126">
        <v>8940673.6999999993</v>
      </c>
      <c r="AB19" s="126">
        <v>8952374.1999999993</v>
      </c>
      <c r="AC19" s="126">
        <v>9166524</v>
      </c>
      <c r="AD19" s="126">
        <v>9359424</v>
      </c>
      <c r="AE19" s="126">
        <v>9427424</v>
      </c>
      <c r="AF19" s="126">
        <v>9427424</v>
      </c>
      <c r="AG19" s="126">
        <v>9427424</v>
      </c>
      <c r="AH19" s="126">
        <v>9517010.4499999993</v>
      </c>
      <c r="AI19" s="126">
        <v>9422424</v>
      </c>
      <c r="AJ19" s="126">
        <v>9549041.0999999996</v>
      </c>
      <c r="AK19" s="126">
        <v>10323527.6</v>
      </c>
      <c r="AL19" s="126">
        <v>10894435.6</v>
      </c>
      <c r="AM19" s="135">
        <f>AVERAGE(AL19,AN19)+326785.89</f>
        <v>11276875.140000001</v>
      </c>
      <c r="AN19" s="126">
        <v>11005742.9</v>
      </c>
      <c r="AO19" s="179"/>
      <c r="AP19" s="125"/>
      <c r="AQ19" s="125"/>
      <c r="AR19" s="125"/>
      <c r="AS19" s="125"/>
      <c r="AX19" s="125"/>
      <c r="AY19" s="124">
        <v>11229955</v>
      </c>
    </row>
    <row r="20" spans="1:51" x14ac:dyDescent="0.25">
      <c r="B20" s="123" t="s">
        <v>4</v>
      </c>
      <c r="C20" s="124"/>
      <c r="D20" s="124">
        <v>749020</v>
      </c>
      <c r="E20" s="128" t="s">
        <v>408</v>
      </c>
      <c r="F20" s="128" t="s">
        <v>408</v>
      </c>
      <c r="G20" s="128" t="s">
        <v>408</v>
      </c>
      <c r="H20" s="128" t="s">
        <v>408</v>
      </c>
      <c r="I20" s="128" t="s">
        <v>408</v>
      </c>
      <c r="J20" s="128" t="s">
        <v>408</v>
      </c>
      <c r="K20" s="128" t="s">
        <v>408</v>
      </c>
      <c r="L20" s="128" t="s">
        <v>408</v>
      </c>
      <c r="M20" s="128" t="s">
        <v>408</v>
      </c>
      <c r="N20" s="128" t="s">
        <v>408</v>
      </c>
      <c r="O20" s="128" t="s">
        <v>408</v>
      </c>
      <c r="P20" s="128" t="s">
        <v>408</v>
      </c>
      <c r="Q20" s="212" t="s">
        <v>408</v>
      </c>
      <c r="R20" s="128" t="s">
        <v>408</v>
      </c>
      <c r="S20" s="128" t="s">
        <v>408</v>
      </c>
      <c r="T20" s="128" t="s">
        <v>408</v>
      </c>
      <c r="U20" s="124">
        <v>2113975.21</v>
      </c>
      <c r="V20" s="124">
        <v>2149166.21</v>
      </c>
      <c r="W20" s="126">
        <v>2149166.21</v>
      </c>
      <c r="X20" s="126">
        <v>2149166.21</v>
      </c>
      <c r="Y20" s="126">
        <v>2292416.21</v>
      </c>
      <c r="Z20" s="126">
        <v>2438628.9500000002</v>
      </c>
      <c r="AA20" s="126">
        <v>2581328.9500000002</v>
      </c>
      <c r="AB20" s="135">
        <v>2722828.87</v>
      </c>
      <c r="AC20" s="126">
        <v>2730279.97</v>
      </c>
      <c r="AD20" s="126">
        <v>2802096.58</v>
      </c>
      <c r="AE20" s="126">
        <v>2861190.68</v>
      </c>
      <c r="AF20" s="126">
        <v>3136916.78</v>
      </c>
      <c r="AG20" s="126">
        <v>3130916.78</v>
      </c>
      <c r="AH20" s="126">
        <v>3222383.7</v>
      </c>
      <c r="AI20" s="126">
        <v>3257426.45</v>
      </c>
      <c r="AJ20" s="126">
        <v>3461176.45</v>
      </c>
      <c r="AK20" s="126">
        <v>3719884.65</v>
      </c>
      <c r="AL20" s="126">
        <v>3945534.04</v>
      </c>
      <c r="AM20" s="135">
        <f>AVERAGE(AL20,AN20)</f>
        <v>4030694.5449999999</v>
      </c>
      <c r="AN20" s="126">
        <v>4115855.05</v>
      </c>
      <c r="AO20" s="179"/>
      <c r="AP20" s="125"/>
      <c r="AQ20" s="125"/>
      <c r="AR20" s="125"/>
      <c r="AS20" s="125"/>
      <c r="AX20" s="125"/>
      <c r="AY20" s="124">
        <v>4176851</v>
      </c>
    </row>
    <row r="21" spans="1:51" x14ac:dyDescent="0.25">
      <c r="A21" s="123" t="s">
        <v>255</v>
      </c>
      <c r="B21" s="124"/>
      <c r="C21" s="124"/>
      <c r="D21" s="124">
        <v>19829520</v>
      </c>
      <c r="E21" s="124">
        <v>31955520</v>
      </c>
      <c r="F21" s="124">
        <v>33685501.799999997</v>
      </c>
      <c r="G21" s="124">
        <v>31020501.800000001</v>
      </c>
      <c r="H21" s="128">
        <v>32278674.799999997</v>
      </c>
      <c r="I21" s="128">
        <v>46488109.870000005</v>
      </c>
      <c r="J21" s="128">
        <v>51393071.869999997</v>
      </c>
      <c r="K21" s="128">
        <v>51807081.269999996</v>
      </c>
      <c r="L21" s="135">
        <v>52205575.07</v>
      </c>
      <c r="M21" s="126">
        <v>52483877.770000003</v>
      </c>
      <c r="N21" s="126">
        <v>52731969.869999997</v>
      </c>
      <c r="O21" s="126">
        <v>52912826.07</v>
      </c>
      <c r="P21" s="126">
        <v>38260680.07</v>
      </c>
      <c r="Q21" s="126">
        <v>38496630.920000002</v>
      </c>
      <c r="R21" s="126">
        <v>36517076.520000003</v>
      </c>
      <c r="S21" s="124">
        <v>39204360.560000002</v>
      </c>
      <c r="T21" s="124">
        <v>39107020.049999997</v>
      </c>
      <c r="U21" s="124">
        <v>39686302.909999996</v>
      </c>
      <c r="V21" s="124">
        <v>39721493.909999996</v>
      </c>
      <c r="W21" s="126">
        <v>39721493.909999996</v>
      </c>
      <c r="X21" s="126">
        <v>39721493.909999996</v>
      </c>
      <c r="Y21" s="126">
        <v>39864743.909999996</v>
      </c>
      <c r="Z21" s="126">
        <v>40010956.650000006</v>
      </c>
      <c r="AA21" s="126">
        <v>40153656.649999999</v>
      </c>
      <c r="AB21" s="126">
        <v>40255525.07</v>
      </c>
      <c r="AC21" s="126">
        <v>40058977.469999999</v>
      </c>
      <c r="AD21" s="126">
        <v>40323694.079999998</v>
      </c>
      <c r="AE21" s="126">
        <v>40450788.18</v>
      </c>
      <c r="AF21" s="126">
        <v>40726514.280000001</v>
      </c>
      <c r="AG21" s="126">
        <v>40720514.280000001</v>
      </c>
      <c r="AH21" s="126">
        <v>40901567.649999999</v>
      </c>
      <c r="AI21" s="126">
        <v>40764885.950000003</v>
      </c>
      <c r="AJ21" s="126">
        <v>41085253.049999997</v>
      </c>
      <c r="AK21" s="126">
        <v>41324259.75</v>
      </c>
      <c r="AL21" s="126">
        <v>41509669.140000001</v>
      </c>
      <c r="AM21" s="135">
        <f>AVERAGE(AL21,AN21)+326785.89</f>
        <v>41977269.185000002</v>
      </c>
      <c r="AN21" s="126">
        <v>41791297.450000003</v>
      </c>
      <c r="AO21" s="179"/>
      <c r="AP21" s="125"/>
      <c r="AQ21" s="125"/>
      <c r="AR21" s="125"/>
      <c r="AS21" s="125"/>
      <c r="AX21" s="125"/>
      <c r="AY21" s="128">
        <v>24487991</v>
      </c>
    </row>
    <row r="22" spans="1:51" x14ac:dyDescent="0.25">
      <c r="A22" s="127" t="s">
        <v>448</v>
      </c>
      <c r="B22" s="127"/>
      <c r="L22" s="126"/>
      <c r="M22" s="126"/>
      <c r="N22" s="126"/>
      <c r="O22" s="126"/>
      <c r="P22" s="126"/>
      <c r="Q22" s="126"/>
      <c r="R22" s="126"/>
      <c r="W22" s="126"/>
      <c r="X22" s="126"/>
      <c r="Y22" s="126"/>
      <c r="Z22" s="126"/>
      <c r="AA22" s="126"/>
      <c r="AB22" s="126"/>
      <c r="AC22" s="126"/>
      <c r="AD22" s="126"/>
      <c r="AE22" s="126"/>
      <c r="AF22" s="126"/>
      <c r="AG22" s="126"/>
      <c r="AH22" s="126"/>
      <c r="AI22" s="126"/>
      <c r="AJ22" s="126"/>
      <c r="AK22" s="126"/>
      <c r="AL22" s="126"/>
      <c r="AM22" s="126"/>
      <c r="AN22" s="126"/>
      <c r="AO22" s="179"/>
      <c r="AP22" s="125"/>
      <c r="AQ22" s="125"/>
      <c r="AR22" s="125"/>
      <c r="AS22" s="125"/>
      <c r="AX22" s="125"/>
      <c r="AY22" s="124"/>
    </row>
    <row r="23" spans="1:51" x14ac:dyDescent="0.25">
      <c r="B23" s="123" t="s">
        <v>3</v>
      </c>
      <c r="C23" s="124"/>
      <c r="D23" s="128" t="s">
        <v>429</v>
      </c>
      <c r="E23" s="124">
        <v>-12757018</v>
      </c>
      <c r="F23" s="124">
        <v>-15767633</v>
      </c>
      <c r="G23" s="124">
        <v>-7522437</v>
      </c>
      <c r="H23" s="124">
        <v>-10704220</v>
      </c>
      <c r="I23" s="124">
        <v>-26167773</v>
      </c>
      <c r="J23" s="124">
        <v>-29658855</v>
      </c>
      <c r="K23" s="124">
        <v>-31894587</v>
      </c>
      <c r="L23" s="126">
        <v>-31586232</v>
      </c>
      <c r="M23" s="126">
        <v>-32345896</v>
      </c>
      <c r="N23" s="126">
        <v>-34736778</v>
      </c>
      <c r="O23" s="126">
        <v>-35023089</v>
      </c>
      <c r="P23" s="126">
        <v>-18324279</v>
      </c>
      <c r="Q23" s="126">
        <v>-13338947</v>
      </c>
      <c r="R23" s="126">
        <v>-13084475</v>
      </c>
      <c r="S23" s="124">
        <v>-13431662</v>
      </c>
      <c r="T23" s="124">
        <v>-13721988</v>
      </c>
      <c r="U23" s="124">
        <v>-13655883</v>
      </c>
      <c r="V23" s="124">
        <v>-14704721</v>
      </c>
      <c r="W23" s="126">
        <v>-15107733</v>
      </c>
      <c r="X23" s="126">
        <v>-15345544</v>
      </c>
      <c r="Y23" s="126">
        <v>-15512535</v>
      </c>
      <c r="Z23" s="126">
        <v>-15751377</v>
      </c>
      <c r="AA23" s="126">
        <v>-16038917</v>
      </c>
      <c r="AB23" s="126">
        <v>-16167868</v>
      </c>
      <c r="AC23" s="126">
        <v>-16026806</v>
      </c>
      <c r="AD23" s="126">
        <v>-16368245</v>
      </c>
      <c r="AE23" s="124">
        <v>-16674669</v>
      </c>
      <c r="AF23" s="126">
        <v>-16909045</v>
      </c>
      <c r="AG23" s="126">
        <v>-17197584</v>
      </c>
      <c r="AH23" s="126">
        <v>-17421938</v>
      </c>
      <c r="AI23" s="126">
        <v>-17381057</v>
      </c>
      <c r="AJ23" s="126">
        <v>-17461107</v>
      </c>
      <c r="AK23" s="126">
        <v>-16680848</v>
      </c>
      <c r="AL23" s="126">
        <v>-16166709</v>
      </c>
      <c r="AM23" s="135">
        <f>AVERAGE(AL23,AN23)</f>
        <v>-16161625.5</v>
      </c>
      <c r="AN23" s="124">
        <v>-16156542</v>
      </c>
      <c r="AO23" s="179"/>
      <c r="AP23" s="125"/>
      <c r="AQ23" s="125"/>
      <c r="AR23" s="125"/>
      <c r="AS23" s="125"/>
      <c r="AX23" s="125"/>
      <c r="AY23" s="124">
        <v>-1247</v>
      </c>
    </row>
    <row r="24" spans="1:51" x14ac:dyDescent="0.25">
      <c r="B24" s="123" t="s">
        <v>186</v>
      </c>
      <c r="C24" s="124"/>
      <c r="D24" s="128" t="s">
        <v>429</v>
      </c>
      <c r="E24" s="124">
        <v>-352000.5</v>
      </c>
      <c r="F24" s="124">
        <v>-342544</v>
      </c>
      <c r="G24" s="124">
        <v>-308081</v>
      </c>
      <c r="H24" s="124">
        <v>-748712</v>
      </c>
      <c r="I24" s="124">
        <v>-879507</v>
      </c>
      <c r="J24" s="124">
        <v>-492339.5</v>
      </c>
      <c r="K24" s="124">
        <v>-43109</v>
      </c>
      <c r="L24" s="126">
        <v>-520692</v>
      </c>
      <c r="M24" s="126">
        <v>-514234</v>
      </c>
      <c r="N24" s="126">
        <v>-458689.5</v>
      </c>
      <c r="O24" s="126">
        <v>-508493.5</v>
      </c>
      <c r="P24" s="126">
        <v>-32031</v>
      </c>
      <c r="Q24" s="126">
        <v>-196181</v>
      </c>
      <c r="R24" s="126">
        <v>-4256323.5</v>
      </c>
      <c r="S24" s="124">
        <v>-624787</v>
      </c>
      <c r="T24" s="124">
        <v>-271277</v>
      </c>
      <c r="U24" s="128">
        <v>-2135874</v>
      </c>
      <c r="V24" s="124">
        <v>-2685016.5</v>
      </c>
      <c r="W24" s="126">
        <v>-2682378.5</v>
      </c>
      <c r="X24" s="126">
        <v>-2665219.5</v>
      </c>
      <c r="Y24" s="126">
        <v>-2307123</v>
      </c>
      <c r="Z24" s="126">
        <v>-2294634</v>
      </c>
      <c r="AA24" s="126">
        <v>-2334610</v>
      </c>
      <c r="AB24" s="126">
        <v>-2186506.5</v>
      </c>
      <c r="AC24" s="126">
        <v>-2266792</v>
      </c>
      <c r="AD24" s="126">
        <v>-2678318</v>
      </c>
      <c r="AE24" s="124">
        <v>-3159058.5</v>
      </c>
      <c r="AF24" s="126">
        <v>-3529585</v>
      </c>
      <c r="AG24" s="126">
        <v>-3364941</v>
      </c>
      <c r="AH24" s="126">
        <v>-3325399</v>
      </c>
      <c r="AI24" s="126">
        <v>-3192756.5</v>
      </c>
      <c r="AJ24" s="126">
        <v>-2898829.5</v>
      </c>
      <c r="AK24" s="126">
        <v>-2254979</v>
      </c>
      <c r="AL24" s="126">
        <v>-2275078.5</v>
      </c>
      <c r="AM24" s="135">
        <f>AVERAGE(AL24,AN24)</f>
        <v>-2272173</v>
      </c>
      <c r="AN24" s="124">
        <v>-2269267.5</v>
      </c>
      <c r="AO24" s="179"/>
      <c r="AP24" s="125"/>
      <c r="AQ24" s="125"/>
      <c r="AR24" s="125"/>
      <c r="AS24" s="125"/>
      <c r="AX24" s="125"/>
      <c r="AY24" s="124">
        <v>-379108</v>
      </c>
    </row>
    <row r="25" spans="1:51" x14ac:dyDescent="0.25">
      <c r="B25" s="123" t="s">
        <v>407</v>
      </c>
      <c r="C25" s="124"/>
      <c r="D25" s="128" t="s">
        <v>429</v>
      </c>
      <c r="E25" s="128" t="s">
        <v>408</v>
      </c>
      <c r="F25" s="128" t="s">
        <v>408</v>
      </c>
      <c r="G25" s="128" t="s">
        <v>408</v>
      </c>
      <c r="H25" s="128" t="s">
        <v>408</v>
      </c>
      <c r="I25" s="128" t="s">
        <v>408</v>
      </c>
      <c r="J25" s="128" t="s">
        <v>408</v>
      </c>
      <c r="K25" s="128" t="s">
        <v>408</v>
      </c>
      <c r="L25" s="128" t="s">
        <v>408</v>
      </c>
      <c r="M25" s="128" t="s">
        <v>408</v>
      </c>
      <c r="N25" s="128" t="s">
        <v>408</v>
      </c>
      <c r="O25" s="128" t="s">
        <v>408</v>
      </c>
      <c r="P25" s="128" t="s">
        <v>408</v>
      </c>
      <c r="Q25" s="212" t="s">
        <v>408</v>
      </c>
      <c r="R25" s="128" t="s">
        <v>408</v>
      </c>
      <c r="S25" s="128" t="s">
        <v>408</v>
      </c>
      <c r="T25" s="128" t="s">
        <v>408</v>
      </c>
      <c r="U25" s="128">
        <v>-1857496.1</v>
      </c>
      <c r="V25" s="124">
        <v>-2295538.7999999998</v>
      </c>
      <c r="W25" s="126">
        <v>-2140411.7000000002</v>
      </c>
      <c r="X25" s="126">
        <v>-1785055.4</v>
      </c>
      <c r="Y25" s="126">
        <v>-931759.5</v>
      </c>
      <c r="Z25" s="126">
        <v>-620298.30000000005</v>
      </c>
      <c r="AA25" s="126">
        <v>-379227.9</v>
      </c>
      <c r="AB25" s="126">
        <v>-21626.6</v>
      </c>
      <c r="AC25" s="126">
        <v>-71889.600000000006</v>
      </c>
      <c r="AD25" s="126">
        <v>-701551.9</v>
      </c>
      <c r="AE25" s="124">
        <v>-1491787</v>
      </c>
      <c r="AF25" s="126">
        <v>-1941669.1</v>
      </c>
      <c r="AG25" s="126">
        <v>-1733711.3</v>
      </c>
      <c r="AH25" s="126">
        <v>-1352292</v>
      </c>
      <c r="AI25" s="126">
        <v>-1111345.3999999999</v>
      </c>
      <c r="AJ25" s="126">
        <v>-620426.69999999995</v>
      </c>
      <c r="AK25" s="126">
        <v>-63223.199999999997</v>
      </c>
      <c r="AL25" s="126">
        <v>-401303</v>
      </c>
      <c r="AM25" s="135">
        <f>AVERAGE(AL25,AN25)</f>
        <v>-445145.25</v>
      </c>
      <c r="AN25" s="124">
        <v>-488987.5</v>
      </c>
      <c r="AO25" s="179"/>
      <c r="AP25" s="125"/>
      <c r="AQ25" s="125"/>
      <c r="AR25" s="125"/>
      <c r="AS25" s="125"/>
      <c r="AX25" s="125"/>
      <c r="AY25" s="124">
        <v>-24585</v>
      </c>
    </row>
    <row r="26" spans="1:51" x14ac:dyDescent="0.25">
      <c r="B26" s="123" t="s">
        <v>5</v>
      </c>
      <c r="C26" s="124"/>
      <c r="D26" s="128" t="s">
        <v>429</v>
      </c>
      <c r="E26" s="128" t="s">
        <v>408</v>
      </c>
      <c r="F26" s="128" t="s">
        <v>408</v>
      </c>
      <c r="G26" s="128" t="s">
        <v>408</v>
      </c>
      <c r="H26" s="128" t="s">
        <v>408</v>
      </c>
      <c r="I26" s="128" t="s">
        <v>408</v>
      </c>
      <c r="J26" s="128" t="s">
        <v>408</v>
      </c>
      <c r="K26" s="128" t="s">
        <v>408</v>
      </c>
      <c r="L26" s="128" t="s">
        <v>408</v>
      </c>
      <c r="M26" s="128" t="s">
        <v>408</v>
      </c>
      <c r="N26" s="128" t="s">
        <v>408</v>
      </c>
      <c r="O26" s="128" t="s">
        <v>408</v>
      </c>
      <c r="P26" s="128" t="s">
        <v>408</v>
      </c>
      <c r="Q26" s="212" t="s">
        <v>408</v>
      </c>
      <c r="R26" s="128" t="s">
        <v>408</v>
      </c>
      <c r="S26" s="128" t="s">
        <v>408</v>
      </c>
      <c r="T26" s="128" t="s">
        <v>408</v>
      </c>
      <c r="U26" s="124">
        <v>-224597.96</v>
      </c>
      <c r="V26" s="124">
        <v>-248684.11499999999</v>
      </c>
      <c r="W26" s="126">
        <v>-200657.16</v>
      </c>
      <c r="X26" s="126">
        <v>-103335.52</v>
      </c>
      <c r="Y26" s="126">
        <v>-79649.824999999997</v>
      </c>
      <c r="Z26" s="126">
        <v>-93975.324999999997</v>
      </c>
      <c r="AA26" s="126">
        <v>-89967.324999999997</v>
      </c>
      <c r="AB26" s="126">
        <v>-106243.425</v>
      </c>
      <c r="AC26" s="126">
        <v>-12840.305</v>
      </c>
      <c r="AD26" s="126">
        <v>-57099.864999999998</v>
      </c>
      <c r="AE26" s="124">
        <v>-84834.51</v>
      </c>
      <c r="AF26" s="126">
        <v>-391020.15</v>
      </c>
      <c r="AG26" s="126">
        <v>-294295.39</v>
      </c>
      <c r="AH26" s="126">
        <v>-352828.58</v>
      </c>
      <c r="AI26" s="126">
        <v>-209185.4</v>
      </c>
      <c r="AJ26" s="126">
        <v>-172490.9</v>
      </c>
      <c r="AK26" s="126">
        <v>-20563.63</v>
      </c>
      <c r="AL26" s="126">
        <v>-229.07</v>
      </c>
      <c r="AM26" s="135">
        <f>AVERAGE(AL26,AN26)</f>
        <v>-3370.8049999999998</v>
      </c>
      <c r="AN26" s="124">
        <v>-6512.54</v>
      </c>
      <c r="AO26" s="179"/>
      <c r="AP26" s="125"/>
      <c r="AQ26" s="125"/>
      <c r="AR26" s="125"/>
      <c r="AS26" s="125"/>
      <c r="AX26" s="125"/>
      <c r="AY26" s="124">
        <v>-110741</v>
      </c>
    </row>
    <row r="27" spans="1:51" x14ac:dyDescent="0.25">
      <c r="B27" s="123" t="s">
        <v>6</v>
      </c>
      <c r="C27" s="124"/>
      <c r="W27" s="126"/>
      <c r="X27" s="126"/>
      <c r="Y27" s="126">
        <v>-100000</v>
      </c>
      <c r="Z27" s="126">
        <v>-100000</v>
      </c>
      <c r="AA27" s="126">
        <v>-100000</v>
      </c>
      <c r="AB27" s="126">
        <v>-100000</v>
      </c>
      <c r="AC27" s="126">
        <v>-100000</v>
      </c>
      <c r="AD27" s="126">
        <v>-100000</v>
      </c>
      <c r="AE27" s="124">
        <v>-100000</v>
      </c>
      <c r="AF27" s="126">
        <v>-100000</v>
      </c>
      <c r="AG27" s="126">
        <v>-100000</v>
      </c>
      <c r="AH27" s="126">
        <v>-100000</v>
      </c>
      <c r="AI27" s="126">
        <v>-100000</v>
      </c>
      <c r="AJ27" s="126">
        <v>-100000</v>
      </c>
      <c r="AK27" s="126">
        <v>-102000</v>
      </c>
      <c r="AL27" s="126">
        <v>-104040</v>
      </c>
      <c r="AM27" s="135">
        <v>-104040</v>
      </c>
      <c r="AN27" s="124">
        <v>-104040</v>
      </c>
      <c r="AO27" s="179"/>
      <c r="AP27" s="125"/>
      <c r="AQ27" s="125"/>
      <c r="AR27" s="125"/>
      <c r="AS27" s="125"/>
      <c r="AX27" s="125"/>
      <c r="AY27" s="135">
        <v>-104040</v>
      </c>
    </row>
    <row r="28" spans="1:51" x14ac:dyDescent="0.25">
      <c r="A28" s="123" t="s">
        <v>255</v>
      </c>
      <c r="B28" s="124"/>
      <c r="C28" s="124"/>
      <c r="D28" s="128">
        <v>-16772393</v>
      </c>
      <c r="E28" s="128">
        <v>-14239083</v>
      </c>
      <c r="F28" s="124">
        <v>-16886464.699999999</v>
      </c>
      <c r="G28" s="124">
        <v>-8234641.5499999998</v>
      </c>
      <c r="H28" s="124">
        <v>-12467662.76</v>
      </c>
      <c r="I28" s="124">
        <v>-27956085.280000001</v>
      </c>
      <c r="J28" s="124">
        <v>-30718298.059999999</v>
      </c>
      <c r="K28" s="124">
        <v>-32756376.879999999</v>
      </c>
      <c r="L28" s="126">
        <v>-32385651.719999999</v>
      </c>
      <c r="M28" s="126">
        <v>-34071670.850000001</v>
      </c>
      <c r="N28" s="126">
        <v>-35587637.939999998</v>
      </c>
      <c r="O28" s="126">
        <v>-36218910.310000002</v>
      </c>
      <c r="P28" s="126">
        <v>-18818151.530000001</v>
      </c>
      <c r="Q28" s="126">
        <v>-15565373.850000001</v>
      </c>
      <c r="R28" s="126">
        <v>-10847928.640000004</v>
      </c>
      <c r="S28" s="124">
        <v>-15025415.550000001</v>
      </c>
      <c r="T28" s="124">
        <v>-14361937.369999999</v>
      </c>
      <c r="U28" s="124">
        <v>-17873851.059999999</v>
      </c>
      <c r="V28" s="124">
        <v>-19933960.414999999</v>
      </c>
      <c r="W28" s="126">
        <v>-20131180.359999999</v>
      </c>
      <c r="X28" s="126">
        <v>-19899154.420000002</v>
      </c>
      <c r="Y28" s="126">
        <v>-18931067.324999999</v>
      </c>
      <c r="Z28" s="126">
        <v>-18860284.625</v>
      </c>
      <c r="AA28" s="126">
        <v>-18942722.225000001</v>
      </c>
      <c r="AB28" s="126">
        <v>-18582244.524999999</v>
      </c>
      <c r="AC28" s="126">
        <v>-18478327.905000001</v>
      </c>
      <c r="AD28" s="126">
        <v>-19905214.765000001</v>
      </c>
      <c r="AE28" s="126">
        <v>-21510349.010000002</v>
      </c>
      <c r="AF28" s="126">
        <v>-22871319.25</v>
      </c>
      <c r="AG28" s="126">
        <v>-22690531.690000001</v>
      </c>
      <c r="AH28" s="126">
        <v>-22552457.579999998</v>
      </c>
      <c r="AI28" s="126">
        <v>-21994344.300000001</v>
      </c>
      <c r="AJ28" s="126">
        <v>-21252854.100000001</v>
      </c>
      <c r="AK28" s="126">
        <v>-19121613.829999998</v>
      </c>
      <c r="AL28" s="126">
        <v>-18947359.57</v>
      </c>
      <c r="AM28" s="135">
        <f>AVERAGE(AL28,AN28)</f>
        <v>-18986354.555</v>
      </c>
      <c r="AN28" s="126">
        <v>-19025349.539999999</v>
      </c>
      <c r="AO28" s="179"/>
      <c r="AP28" s="125"/>
      <c r="AQ28" s="125"/>
      <c r="AR28" s="125"/>
      <c r="AS28" s="125"/>
      <c r="AX28" s="125"/>
      <c r="AY28" s="128">
        <v>-619721</v>
      </c>
    </row>
    <row r="29" spans="1:51" s="131" customFormat="1" x14ac:dyDescent="0.25">
      <c r="A29" s="122" t="s">
        <v>414</v>
      </c>
      <c r="B29" s="122"/>
      <c r="C29" s="122"/>
      <c r="D29" s="130">
        <v>3057127</v>
      </c>
      <c r="E29" s="165">
        <v>17716437</v>
      </c>
      <c r="F29" s="165">
        <v>16799037.100000001</v>
      </c>
      <c r="G29" s="131">
        <v>22785860.25</v>
      </c>
      <c r="H29" s="131">
        <v>19811012.039999999</v>
      </c>
      <c r="I29" s="131">
        <v>18532024.59</v>
      </c>
      <c r="J29" s="131">
        <v>20674773.809999999</v>
      </c>
      <c r="K29" s="131">
        <v>19050704.390000001</v>
      </c>
      <c r="L29" s="131">
        <v>19819923.350000001</v>
      </c>
      <c r="M29" s="131">
        <v>18412206.920000002</v>
      </c>
      <c r="N29" s="131">
        <v>17144331.93</v>
      </c>
      <c r="O29" s="131">
        <v>16693915.76</v>
      </c>
      <c r="P29" s="131">
        <v>19442528.539999999</v>
      </c>
      <c r="Q29" s="131">
        <v>22931257.07</v>
      </c>
      <c r="R29" s="131">
        <v>25669147.879999999</v>
      </c>
      <c r="S29" s="131">
        <v>24178945.010000002</v>
      </c>
      <c r="T29" s="131">
        <v>24745082.68</v>
      </c>
      <c r="U29" s="131">
        <v>21812451.850000001</v>
      </c>
      <c r="V29" s="131">
        <v>19787533.495000001</v>
      </c>
      <c r="W29" s="131">
        <v>19590313.550000001</v>
      </c>
      <c r="X29" s="131">
        <v>19822339.489999998</v>
      </c>
      <c r="Y29" s="131">
        <v>20933676.585000001</v>
      </c>
      <c r="Z29" s="131">
        <v>21150672.024999999</v>
      </c>
      <c r="AA29" s="131">
        <v>21210934.425000001</v>
      </c>
      <c r="AB29" s="131">
        <v>21673280.545000002</v>
      </c>
      <c r="AC29" s="131">
        <v>21580649.565000001</v>
      </c>
      <c r="AD29" s="131">
        <v>20418479.315000001</v>
      </c>
      <c r="AE29" s="131">
        <v>18940439.170000002</v>
      </c>
      <c r="AF29" s="133">
        <v>17855195.030000001</v>
      </c>
      <c r="AG29" s="133">
        <v>18029982.59</v>
      </c>
      <c r="AH29" s="131">
        <v>18349110.07</v>
      </c>
      <c r="AI29" s="133">
        <v>18770541.649999999</v>
      </c>
      <c r="AJ29" s="133">
        <v>19832398.949999999</v>
      </c>
      <c r="AK29" s="131">
        <v>22202645.920000002</v>
      </c>
      <c r="AL29" s="131">
        <v>22562309.57</v>
      </c>
      <c r="AM29" s="130">
        <v>22990914.629999995</v>
      </c>
      <c r="AN29" s="131">
        <v>22765947.91</v>
      </c>
      <c r="AO29" s="213">
        <v>22543536</v>
      </c>
      <c r="AP29" s="132"/>
      <c r="AQ29" s="132"/>
      <c r="AR29" s="132"/>
      <c r="AS29" s="132"/>
      <c r="AT29" s="133">
        <v>69857733.849999994</v>
      </c>
      <c r="AU29" s="133"/>
      <c r="AV29" s="134">
        <v>80183060.599999994</v>
      </c>
      <c r="AW29" s="131">
        <v>73200000</v>
      </c>
      <c r="AX29" s="132"/>
      <c r="AY29" s="130">
        <v>23868270</v>
      </c>
    </row>
    <row r="30" spans="1:51" s="131" customFormat="1" x14ac:dyDescent="0.25">
      <c r="A30" s="122"/>
      <c r="B30" s="122"/>
      <c r="C30" s="122"/>
      <c r="D30" s="165"/>
      <c r="E30" s="165"/>
      <c r="F30" s="165"/>
      <c r="AF30" s="133"/>
      <c r="AG30" s="133"/>
      <c r="AI30" s="133"/>
      <c r="AJ30" s="133"/>
      <c r="AM30" s="130"/>
      <c r="AO30" s="213"/>
      <c r="AP30" s="132"/>
      <c r="AQ30" s="132"/>
      <c r="AR30" s="132"/>
      <c r="AS30" s="132"/>
      <c r="AT30" s="133"/>
      <c r="AU30" s="133"/>
      <c r="AV30" s="133"/>
      <c r="AX30" s="132"/>
      <c r="AY30" s="130"/>
    </row>
    <row r="31" spans="1:51" s="130" customFormat="1" x14ac:dyDescent="0.25">
      <c r="A31" s="122" t="s">
        <v>411</v>
      </c>
      <c r="B31" s="122"/>
      <c r="C31" s="129"/>
      <c r="D31" s="131">
        <v>9057127</v>
      </c>
      <c r="E31" s="130">
        <v>28160667</v>
      </c>
      <c r="F31" s="130">
        <v>30030410.600000001</v>
      </c>
      <c r="G31" s="130">
        <v>44326568.25</v>
      </c>
      <c r="H31" s="130">
        <v>38694711.039999999</v>
      </c>
      <c r="I31" s="130">
        <v>41329478.590000004</v>
      </c>
      <c r="J31" s="130">
        <v>46716613.810000002</v>
      </c>
      <c r="K31" s="130">
        <v>44855238.390000001</v>
      </c>
      <c r="L31" s="130">
        <v>46607978.850000001</v>
      </c>
      <c r="M31" s="130">
        <v>46600868.920000002</v>
      </c>
      <c r="N31" s="130">
        <v>47170245.93</v>
      </c>
      <c r="O31" s="130">
        <v>45980771.759999998</v>
      </c>
      <c r="P31" s="130">
        <v>61217861.539999999</v>
      </c>
      <c r="Q31" s="130">
        <v>92442956.069999993</v>
      </c>
      <c r="R31" s="130">
        <v>120781670.88</v>
      </c>
      <c r="S31" s="130">
        <v>123708580.01000001</v>
      </c>
      <c r="T31" s="130">
        <v>91220297.680000007</v>
      </c>
      <c r="U31" s="130">
        <v>61424068.149999999</v>
      </c>
      <c r="V31" s="130">
        <v>55825887.495000005</v>
      </c>
      <c r="W31" s="134">
        <v>69060496.549999997</v>
      </c>
      <c r="X31" s="134">
        <v>82675921.489999995</v>
      </c>
      <c r="Y31" s="134">
        <v>92580588.585000008</v>
      </c>
      <c r="Z31" s="134">
        <v>87633586.025000006</v>
      </c>
      <c r="AA31" s="134">
        <v>96768390</v>
      </c>
      <c r="AB31" s="134">
        <v>105726312.55</v>
      </c>
      <c r="AC31" s="134">
        <v>104958969.56999999</v>
      </c>
      <c r="AD31" s="134">
        <v>91614045.319999993</v>
      </c>
      <c r="AE31" s="130">
        <v>83721922.170000002</v>
      </c>
      <c r="AF31" s="134">
        <v>72208463.030000001</v>
      </c>
      <c r="AG31" s="134">
        <v>84555038.590000004</v>
      </c>
      <c r="AH31" s="134">
        <v>87129505.069999993</v>
      </c>
      <c r="AI31" s="134">
        <v>105319297.65000001</v>
      </c>
      <c r="AJ31" s="134">
        <v>128077955.95</v>
      </c>
      <c r="AK31" s="134">
        <v>149812433.92000002</v>
      </c>
      <c r="AL31" s="134">
        <v>191086195</v>
      </c>
      <c r="AM31" s="134">
        <v>185069800.63</v>
      </c>
      <c r="AN31" s="130">
        <v>178229409.91</v>
      </c>
      <c r="AO31" s="213">
        <v>178343536</v>
      </c>
      <c r="AP31" s="136"/>
      <c r="AQ31" s="136"/>
      <c r="AR31" s="136"/>
      <c r="AS31" s="136"/>
      <c r="AT31" s="146">
        <v>750386659.85000002</v>
      </c>
      <c r="AU31" s="133">
        <v>764000000</v>
      </c>
      <c r="AV31" s="133">
        <v>842330772.60000002</v>
      </c>
      <c r="AW31" s="131">
        <v>891700000</v>
      </c>
      <c r="AX31" s="136"/>
      <c r="AY31" s="130">
        <v>196683191</v>
      </c>
    </row>
    <row r="32" spans="1:51" s="130" customFormat="1" x14ac:dyDescent="0.25">
      <c r="A32" s="122"/>
      <c r="B32" s="122"/>
      <c r="C32" s="129"/>
      <c r="W32" s="134"/>
      <c r="X32" s="134"/>
      <c r="Y32" s="134"/>
      <c r="Z32" s="134"/>
      <c r="AA32" s="134"/>
      <c r="AB32" s="134"/>
      <c r="AC32" s="134"/>
      <c r="AD32" s="134"/>
      <c r="AF32" s="134"/>
      <c r="AG32" s="134"/>
      <c r="AH32" s="134"/>
      <c r="AI32" s="134"/>
      <c r="AJ32" s="134"/>
      <c r="AK32" s="134"/>
      <c r="AL32" s="134"/>
      <c r="AM32" s="134"/>
      <c r="AO32" s="213"/>
      <c r="AP32" s="136"/>
      <c r="AQ32" s="136"/>
      <c r="AR32" s="136"/>
      <c r="AS32" s="136"/>
      <c r="AT32" s="146"/>
      <c r="AU32" s="133"/>
      <c r="AV32" s="133"/>
      <c r="AW32" s="131"/>
      <c r="AX32" s="136"/>
    </row>
    <row r="33" spans="1:51" s="131" customFormat="1" x14ac:dyDescent="0.25">
      <c r="A33" s="122" t="s">
        <v>403</v>
      </c>
      <c r="B33" s="122"/>
      <c r="C33" s="122"/>
      <c r="D33" s="165"/>
      <c r="E33" s="165"/>
      <c r="F33" s="165"/>
      <c r="G33" s="130"/>
      <c r="H33" s="130"/>
      <c r="I33" s="130"/>
      <c r="J33" s="130"/>
      <c r="K33" s="130"/>
      <c r="L33" s="130"/>
      <c r="M33" s="130"/>
      <c r="N33" s="130"/>
      <c r="O33" s="130"/>
      <c r="P33" s="130"/>
      <c r="Q33" s="130"/>
      <c r="R33" s="130"/>
      <c r="S33" s="130"/>
      <c r="T33" s="130"/>
      <c r="U33" s="130"/>
      <c r="V33" s="130"/>
      <c r="W33" s="134"/>
      <c r="X33" s="134"/>
      <c r="Y33" s="134"/>
      <c r="Z33" s="134"/>
      <c r="AA33" s="134"/>
      <c r="AB33" s="134"/>
      <c r="AC33" s="134"/>
      <c r="AD33" s="134"/>
      <c r="AE33" s="130"/>
      <c r="AF33" s="134"/>
      <c r="AG33" s="134"/>
      <c r="AH33" s="134"/>
      <c r="AI33" s="134"/>
      <c r="AJ33" s="134"/>
      <c r="AK33" s="134"/>
      <c r="AL33" s="133"/>
      <c r="AM33" s="134"/>
      <c r="AN33" s="130"/>
      <c r="AO33" s="213"/>
      <c r="AP33" s="132"/>
      <c r="AQ33" s="132"/>
      <c r="AR33" s="132"/>
      <c r="AS33" s="132"/>
      <c r="AT33" s="134">
        <v>117155583.64</v>
      </c>
      <c r="AU33" s="134">
        <v>117155583.64</v>
      </c>
      <c r="AV33" s="133">
        <v>117155583.64</v>
      </c>
      <c r="AW33" s="130">
        <v>0</v>
      </c>
      <c r="AX33" s="132"/>
      <c r="AY33" s="130"/>
    </row>
    <row r="34" spans="1:51" s="131" customFormat="1" x14ac:dyDescent="0.25">
      <c r="A34" s="129"/>
      <c r="B34" s="129"/>
      <c r="C34" s="122"/>
      <c r="D34" s="165"/>
      <c r="E34" s="165"/>
      <c r="F34" s="165"/>
      <c r="G34" s="130"/>
      <c r="H34" s="130"/>
      <c r="I34" s="130"/>
      <c r="J34" s="130"/>
      <c r="K34" s="130"/>
      <c r="L34" s="130"/>
      <c r="M34" s="130"/>
      <c r="N34" s="130"/>
      <c r="O34" s="130"/>
      <c r="P34" s="130"/>
      <c r="Q34" s="130"/>
      <c r="R34" s="130"/>
      <c r="S34" s="130"/>
      <c r="T34" s="130"/>
      <c r="U34" s="130"/>
      <c r="V34" s="130"/>
      <c r="W34" s="134"/>
      <c r="X34" s="134"/>
      <c r="Y34" s="134"/>
      <c r="Z34" s="134"/>
      <c r="AA34" s="134"/>
      <c r="AB34" s="134"/>
      <c r="AC34" s="134"/>
      <c r="AD34" s="134"/>
      <c r="AE34" s="130"/>
      <c r="AF34" s="134"/>
      <c r="AG34" s="134"/>
      <c r="AH34" s="134"/>
      <c r="AI34" s="134"/>
      <c r="AJ34" s="134"/>
      <c r="AK34" s="134"/>
      <c r="AL34" s="133"/>
      <c r="AM34" s="134"/>
      <c r="AN34" s="130"/>
      <c r="AO34" s="213"/>
      <c r="AP34" s="132"/>
      <c r="AQ34" s="132"/>
      <c r="AR34" s="132"/>
      <c r="AS34" s="132"/>
      <c r="AT34" s="126"/>
      <c r="AU34" s="133"/>
      <c r="AV34" s="133"/>
      <c r="AX34" s="132"/>
      <c r="AY34" s="130"/>
    </row>
    <row r="35" spans="1:51" x14ac:dyDescent="0.25">
      <c r="A35" s="122" t="s">
        <v>446</v>
      </c>
      <c r="B35" s="122"/>
      <c r="AO35" s="179"/>
      <c r="AP35" s="125"/>
      <c r="AQ35" s="125"/>
      <c r="AR35" s="125"/>
      <c r="AS35" s="125"/>
      <c r="AX35" s="125"/>
      <c r="AY35" s="124"/>
    </row>
    <row r="36" spans="1:51" x14ac:dyDescent="0.25">
      <c r="A36" s="123" t="s">
        <v>438</v>
      </c>
      <c r="B36" s="122"/>
      <c r="AO36" s="179"/>
      <c r="AP36" s="125"/>
      <c r="AQ36" s="125"/>
      <c r="AR36" s="125"/>
      <c r="AS36" s="125"/>
      <c r="AX36" s="125"/>
      <c r="AY36" s="124"/>
    </row>
    <row r="37" spans="1:51" x14ac:dyDescent="0.25">
      <c r="B37" s="123" t="s">
        <v>439</v>
      </c>
      <c r="J37" s="124">
        <v>1845000</v>
      </c>
      <c r="K37" s="124">
        <v>3140000</v>
      </c>
      <c r="L37" s="124">
        <v>5381877.5</v>
      </c>
      <c r="M37" s="124">
        <v>5367860</v>
      </c>
      <c r="N37" s="124">
        <v>5339485</v>
      </c>
      <c r="O37" s="124">
        <v>5304135</v>
      </c>
      <c r="P37" s="124">
        <v>5321327.5</v>
      </c>
      <c r="Q37" s="124">
        <v>5577357.5</v>
      </c>
      <c r="R37" s="124">
        <v>5962852.5</v>
      </c>
      <c r="S37" s="124">
        <v>8785840</v>
      </c>
      <c r="T37" s="124">
        <v>8898000</v>
      </c>
      <c r="U37" s="124">
        <v>8906972.5</v>
      </c>
      <c r="V37" s="124">
        <v>8998367.5</v>
      </c>
      <c r="W37" s="126">
        <v>8936317.5</v>
      </c>
      <c r="X37" s="126">
        <v>8911880</v>
      </c>
      <c r="Y37" s="126">
        <v>8961305</v>
      </c>
      <c r="Z37" s="126">
        <v>8953280</v>
      </c>
      <c r="AA37" s="124">
        <v>8534710</v>
      </c>
      <c r="AB37" s="126">
        <v>8989372.5</v>
      </c>
      <c r="AC37" s="126">
        <v>8123867.5</v>
      </c>
      <c r="AD37" s="126">
        <v>7789372.5</v>
      </c>
      <c r="AE37" s="124">
        <v>6739372.5</v>
      </c>
      <c r="AF37" s="126">
        <v>6589372.5</v>
      </c>
      <c r="AG37" s="126">
        <v>5991152.5</v>
      </c>
      <c r="AH37" s="126">
        <v>5391152.5</v>
      </c>
      <c r="AI37" s="126">
        <v>4791152.5</v>
      </c>
      <c r="AJ37" s="126">
        <v>3921320</v>
      </c>
      <c r="AK37" s="126">
        <v>3600000</v>
      </c>
      <c r="AL37" s="126">
        <v>3000000</v>
      </c>
      <c r="AM37" s="135">
        <v>2400000</v>
      </c>
      <c r="AN37" s="124">
        <v>1800000</v>
      </c>
      <c r="AO37" s="211">
        <v>1800000</v>
      </c>
      <c r="AP37" s="125"/>
      <c r="AQ37" s="125"/>
      <c r="AR37" s="125"/>
      <c r="AS37" s="125"/>
      <c r="AX37" s="125"/>
      <c r="AY37" s="128">
        <v>1400000</v>
      </c>
    </row>
    <row r="38" spans="1:51" x14ac:dyDescent="0.25">
      <c r="B38" s="123" t="s">
        <v>440</v>
      </c>
      <c r="J38" s="124">
        <v>124168</v>
      </c>
      <c r="K38" s="124">
        <v>91827.5</v>
      </c>
      <c r="W38" s="126"/>
      <c r="X38" s="126"/>
      <c r="Y38" s="126"/>
      <c r="Z38" s="126"/>
      <c r="AB38" s="126"/>
      <c r="AC38" s="126"/>
      <c r="AD38" s="126"/>
      <c r="AF38" s="126"/>
      <c r="AG38" s="126"/>
      <c r="AH38" s="126"/>
      <c r="AI38" s="126"/>
      <c r="AJ38" s="126"/>
      <c r="AK38" s="126"/>
      <c r="AL38" s="126"/>
      <c r="AM38" s="126"/>
      <c r="AO38" s="179"/>
      <c r="AP38" s="125"/>
      <c r="AQ38" s="125"/>
      <c r="AR38" s="125"/>
      <c r="AS38" s="125"/>
      <c r="AX38" s="125"/>
      <c r="AY38" s="124"/>
    </row>
    <row r="39" spans="1:51" x14ac:dyDescent="0.25">
      <c r="B39" s="123" t="s">
        <v>441</v>
      </c>
      <c r="J39" s="124">
        <v>68915.55</v>
      </c>
      <c r="K39" s="124">
        <v>68521.259999999995</v>
      </c>
      <c r="L39" s="124">
        <v>66036.62</v>
      </c>
      <c r="M39" s="124">
        <v>65659.8</v>
      </c>
      <c r="N39" s="124">
        <v>65386.81</v>
      </c>
      <c r="W39" s="126"/>
      <c r="X39" s="126"/>
      <c r="Y39" s="126"/>
      <c r="Z39" s="126"/>
      <c r="AB39" s="126"/>
      <c r="AC39" s="126"/>
      <c r="AD39" s="126"/>
      <c r="AF39" s="126"/>
      <c r="AG39" s="126"/>
      <c r="AH39" s="126"/>
      <c r="AI39" s="126"/>
      <c r="AJ39" s="126"/>
      <c r="AK39" s="126"/>
      <c r="AL39" s="126"/>
      <c r="AM39" s="126"/>
      <c r="AO39" s="179"/>
      <c r="AP39" s="125"/>
      <c r="AQ39" s="125"/>
      <c r="AR39" s="125"/>
      <c r="AS39" s="125"/>
      <c r="AX39" s="125"/>
      <c r="AY39" s="124"/>
    </row>
    <row r="40" spans="1:51" x14ac:dyDescent="0.25">
      <c r="B40" s="123" t="s">
        <v>341</v>
      </c>
      <c r="W40" s="126"/>
      <c r="X40" s="126"/>
      <c r="Y40" s="126"/>
      <c r="Z40" s="126"/>
      <c r="AB40" s="126"/>
      <c r="AC40" s="126"/>
      <c r="AD40" s="126"/>
      <c r="AF40" s="126"/>
      <c r="AG40" s="126"/>
      <c r="AH40" s="126"/>
      <c r="AI40" s="126"/>
      <c r="AJ40" s="126"/>
      <c r="AK40" s="126"/>
      <c r="AL40" s="126"/>
      <c r="AM40" s="126"/>
      <c r="AO40" s="179"/>
      <c r="AP40" s="125"/>
      <c r="AQ40" s="125"/>
      <c r="AR40" s="125"/>
      <c r="AS40" s="125"/>
      <c r="AX40" s="125"/>
      <c r="AY40" s="124"/>
    </row>
    <row r="41" spans="1:51" x14ac:dyDescent="0.25">
      <c r="C41" s="123" t="s">
        <v>442</v>
      </c>
      <c r="W41" s="126"/>
      <c r="X41" s="126"/>
      <c r="Y41" s="126">
        <v>-40000</v>
      </c>
      <c r="Z41" s="126">
        <v>-40000</v>
      </c>
      <c r="AA41" s="124">
        <v>-40000</v>
      </c>
      <c r="AB41" s="126">
        <v>-40000</v>
      </c>
      <c r="AC41" s="126">
        <v>-40000</v>
      </c>
      <c r="AD41" s="126">
        <v>-40000</v>
      </c>
      <c r="AE41" s="124">
        <v>-40000</v>
      </c>
      <c r="AF41" s="126">
        <v>-40000</v>
      </c>
      <c r="AG41" s="126">
        <v>-40000</v>
      </c>
      <c r="AH41" s="126">
        <v>-40000</v>
      </c>
      <c r="AI41" s="126">
        <v>-40000</v>
      </c>
      <c r="AJ41" s="126">
        <v>-40000</v>
      </c>
      <c r="AK41" s="126">
        <v>-40800</v>
      </c>
      <c r="AL41" s="126">
        <v>-41615</v>
      </c>
      <c r="AM41" s="135">
        <v>-41615</v>
      </c>
      <c r="AN41" s="124">
        <v>-41615</v>
      </c>
      <c r="AO41" s="212">
        <v>-41615</v>
      </c>
      <c r="AP41" s="125"/>
      <c r="AQ41" s="125"/>
      <c r="AR41" s="125"/>
      <c r="AS41" s="125"/>
      <c r="AX41" s="125"/>
      <c r="AY41" s="128">
        <v>-41615</v>
      </c>
    </row>
    <row r="42" spans="1:51" x14ac:dyDescent="0.25">
      <c r="C42" s="123" t="s">
        <v>443</v>
      </c>
      <c r="W42" s="126"/>
      <c r="X42" s="126"/>
      <c r="Y42" s="126"/>
      <c r="Z42" s="126"/>
      <c r="AB42" s="126">
        <v>-9205</v>
      </c>
      <c r="AC42" s="126">
        <v>-265705</v>
      </c>
      <c r="AD42" s="126">
        <v>-358320</v>
      </c>
      <c r="AE42" s="124">
        <v>-174440</v>
      </c>
      <c r="AF42" s="126">
        <v>-85525</v>
      </c>
      <c r="AG42" s="126">
        <v>-81715</v>
      </c>
      <c r="AH42" s="126">
        <v>-856755</v>
      </c>
      <c r="AI42" s="126">
        <v>-614225</v>
      </c>
      <c r="AJ42" s="126"/>
      <c r="AK42" s="126">
        <v>-161990</v>
      </c>
      <c r="AL42" s="126" t="s">
        <v>26</v>
      </c>
      <c r="AM42" s="126"/>
      <c r="AO42" s="179"/>
      <c r="AP42" s="125"/>
      <c r="AQ42" s="125"/>
      <c r="AR42" s="125"/>
      <c r="AS42" s="125"/>
      <c r="AX42" s="125"/>
      <c r="AY42" s="124"/>
    </row>
    <row r="43" spans="1:51" x14ac:dyDescent="0.25">
      <c r="B43" s="123" t="s">
        <v>444</v>
      </c>
      <c r="D43" s="35">
        <v>855367.5</v>
      </c>
      <c r="E43" s="35">
        <v>784287</v>
      </c>
      <c r="F43" s="128">
        <v>1178625.3999999985</v>
      </c>
      <c r="G43" s="128">
        <v>275596.2</v>
      </c>
      <c r="H43" s="128">
        <v>1643271</v>
      </c>
      <c r="I43" s="128">
        <v>199129.14999999851</v>
      </c>
      <c r="J43" s="128">
        <v>2038083.549999997</v>
      </c>
      <c r="K43" s="128">
        <v>3300348.7599999979</v>
      </c>
      <c r="L43" s="128">
        <v>5447914.1199999973</v>
      </c>
      <c r="M43" s="128">
        <v>5433519.799999997</v>
      </c>
      <c r="N43" s="128">
        <v>5404871.8100000024</v>
      </c>
      <c r="O43" s="128">
        <v>5304135</v>
      </c>
      <c r="P43" s="124">
        <v>5321327.5</v>
      </c>
      <c r="Q43" s="124">
        <v>5577357.5</v>
      </c>
      <c r="R43" s="124">
        <v>5962852.5</v>
      </c>
      <c r="S43" s="124">
        <v>8785840</v>
      </c>
      <c r="T43" s="124">
        <v>8898000</v>
      </c>
      <c r="U43" s="124">
        <v>8906972.5</v>
      </c>
      <c r="V43" s="124">
        <v>8998367.5</v>
      </c>
      <c r="W43" s="126">
        <v>8936317.5</v>
      </c>
      <c r="X43" s="126">
        <v>8911880</v>
      </c>
      <c r="Y43" s="126">
        <v>8921305</v>
      </c>
      <c r="Z43" s="126">
        <v>8913280</v>
      </c>
      <c r="AA43" s="124">
        <v>8494710</v>
      </c>
      <c r="AB43" s="126">
        <v>8940167.5</v>
      </c>
      <c r="AC43" s="126">
        <v>7818162.5</v>
      </c>
      <c r="AD43" s="126">
        <v>7391052.5</v>
      </c>
      <c r="AE43" s="124">
        <v>6524932.5</v>
      </c>
      <c r="AF43" s="135">
        <v>6463847.5</v>
      </c>
      <c r="AG43" s="126">
        <v>5869437.5</v>
      </c>
      <c r="AH43" s="126">
        <v>4494397.5</v>
      </c>
      <c r="AI43" s="126">
        <v>4136927.5</v>
      </c>
      <c r="AJ43" s="126">
        <v>3881320</v>
      </c>
      <c r="AK43" s="126">
        <v>3397210</v>
      </c>
      <c r="AL43" s="126">
        <v>2958385</v>
      </c>
      <c r="AM43" s="126">
        <v>2358385</v>
      </c>
      <c r="AN43" s="124">
        <v>1758385</v>
      </c>
      <c r="AO43" s="212">
        <v>1758385</v>
      </c>
      <c r="AP43" s="125"/>
      <c r="AQ43" s="125"/>
      <c r="AR43" s="125"/>
      <c r="AS43" s="125"/>
      <c r="AX43" s="125"/>
      <c r="AY43" s="124">
        <v>1358385</v>
      </c>
    </row>
    <row r="44" spans="1:51" x14ac:dyDescent="0.25">
      <c r="A44" s="123" t="s">
        <v>526</v>
      </c>
      <c r="D44" s="35"/>
      <c r="E44" s="35"/>
      <c r="F44" s="128"/>
      <c r="G44" s="128"/>
      <c r="H44" s="128"/>
      <c r="I44" s="128"/>
      <c r="J44" s="128"/>
      <c r="K44" s="128"/>
      <c r="L44" s="128"/>
      <c r="M44" s="128"/>
      <c r="N44" s="128"/>
      <c r="O44" s="128"/>
      <c r="W44" s="126"/>
      <c r="X44" s="126"/>
      <c r="Y44" s="126"/>
      <c r="Z44" s="126"/>
      <c r="AB44" s="126"/>
      <c r="AC44" s="126"/>
      <c r="AD44" s="126"/>
      <c r="AF44" s="135"/>
      <c r="AG44" s="126"/>
      <c r="AH44" s="126"/>
      <c r="AI44" s="126"/>
      <c r="AJ44" s="126"/>
      <c r="AK44" s="126"/>
      <c r="AL44" s="126"/>
      <c r="AM44" s="126"/>
      <c r="AO44" s="212"/>
      <c r="AP44" s="125"/>
      <c r="AQ44" s="125"/>
      <c r="AR44" s="125"/>
      <c r="AS44" s="125"/>
      <c r="AX44" s="125"/>
      <c r="AY44" s="128"/>
    </row>
    <row r="45" spans="1:51" x14ac:dyDescent="0.25">
      <c r="B45" s="123" t="s">
        <v>445</v>
      </c>
      <c r="C45" s="177"/>
      <c r="P45" s="124">
        <v>520000</v>
      </c>
      <c r="Q45" s="124">
        <v>4560000</v>
      </c>
      <c r="R45" s="124">
        <v>4407359.6500000004</v>
      </c>
      <c r="S45" s="124">
        <v>14082536.1</v>
      </c>
      <c r="T45" s="124">
        <v>24370941.949999999</v>
      </c>
      <c r="U45" s="124">
        <v>33330779.25</v>
      </c>
      <c r="V45" s="124">
        <v>32393212.699999999</v>
      </c>
      <c r="W45" s="126">
        <v>32392519.199999999</v>
      </c>
      <c r="X45" s="126">
        <v>32392179.199999999</v>
      </c>
      <c r="Y45" s="126">
        <v>30849679.199999999</v>
      </c>
      <c r="Z45" s="126">
        <v>27248403</v>
      </c>
      <c r="AA45" s="124">
        <v>22332988.699999999</v>
      </c>
      <c r="AB45" s="126">
        <v>15555478.699999999</v>
      </c>
      <c r="AC45" s="126">
        <v>12555478.699999999</v>
      </c>
      <c r="AD45" s="126">
        <v>10055298.699999999</v>
      </c>
      <c r="AE45" s="124">
        <v>10055182</v>
      </c>
      <c r="AF45" s="126">
        <v>10055181.970000001</v>
      </c>
      <c r="AG45" s="126">
        <v>10054911.869999999</v>
      </c>
      <c r="AH45" s="126">
        <v>10054817.369999999</v>
      </c>
      <c r="AI45" s="126">
        <v>10054767.77</v>
      </c>
      <c r="AJ45" s="126">
        <v>7900000</v>
      </c>
      <c r="AK45" s="126">
        <v>10054682.470000001</v>
      </c>
      <c r="AL45" s="126">
        <v>5673935.4699999997</v>
      </c>
      <c r="AM45" s="135">
        <v>4479924.47</v>
      </c>
      <c r="AN45" s="124">
        <v>3285913.47</v>
      </c>
      <c r="AO45" s="211">
        <v>3200000</v>
      </c>
      <c r="AP45" s="125"/>
      <c r="AQ45" s="125"/>
      <c r="AR45" s="125"/>
      <c r="AS45" s="125"/>
      <c r="AX45" s="125"/>
      <c r="AY45" s="128">
        <f>AY50-AY49</f>
        <v>2455876</v>
      </c>
    </row>
    <row r="46" spans="1:51" x14ac:dyDescent="0.25">
      <c r="B46" s="123" t="s">
        <v>22</v>
      </c>
      <c r="W46" s="126"/>
      <c r="X46" s="126"/>
      <c r="Y46" s="126"/>
      <c r="Z46" s="126"/>
      <c r="AB46" s="126"/>
      <c r="AC46" s="126"/>
      <c r="AD46" s="126"/>
      <c r="AF46" s="126"/>
      <c r="AG46" s="126"/>
      <c r="AH46" s="126"/>
      <c r="AI46" s="126"/>
      <c r="AJ46" s="126">
        <v>54745.42</v>
      </c>
      <c r="AK46" s="126"/>
      <c r="AL46" s="126"/>
      <c r="AM46" s="126"/>
      <c r="AO46" s="179"/>
      <c r="AP46" s="125"/>
      <c r="AQ46" s="125"/>
      <c r="AR46" s="125"/>
      <c r="AS46" s="125"/>
      <c r="AX46" s="125"/>
      <c r="AY46" s="124"/>
    </row>
    <row r="47" spans="1:51" x14ac:dyDescent="0.25">
      <c r="B47" s="123" t="s">
        <v>341</v>
      </c>
      <c r="W47" s="126"/>
      <c r="X47" s="126"/>
      <c r="Y47" s="126"/>
      <c r="Z47" s="126"/>
      <c r="AB47" s="126"/>
      <c r="AC47" s="126"/>
      <c r="AD47" s="126"/>
      <c r="AF47" s="126"/>
      <c r="AG47" s="126"/>
      <c r="AH47" s="126"/>
      <c r="AI47" s="126"/>
      <c r="AJ47" s="126"/>
      <c r="AK47" s="126"/>
      <c r="AL47" s="126"/>
      <c r="AM47" s="126"/>
      <c r="AO47" s="179"/>
      <c r="AP47" s="125"/>
      <c r="AQ47" s="125"/>
      <c r="AR47" s="125"/>
      <c r="AS47" s="125"/>
      <c r="AX47" s="125"/>
      <c r="AY47" s="124"/>
    </row>
    <row r="48" spans="1:51" x14ac:dyDescent="0.25">
      <c r="C48" s="123" t="s">
        <v>442</v>
      </c>
      <c r="W48" s="126"/>
      <c r="X48" s="126"/>
      <c r="Y48" s="126"/>
      <c r="Z48" s="126"/>
      <c r="AB48" s="126">
        <v>-451401.2</v>
      </c>
      <c r="AC48" s="126">
        <v>-1644541.1</v>
      </c>
      <c r="AD48" s="126">
        <v>-391992.1</v>
      </c>
      <c r="AE48" s="124">
        <v>-1105700</v>
      </c>
      <c r="AF48" s="126">
        <v>-135257.79999999999</v>
      </c>
      <c r="AG48" s="126">
        <v>-186700</v>
      </c>
      <c r="AH48" s="126">
        <v>-136300</v>
      </c>
      <c r="AI48" s="126">
        <v>-2638300</v>
      </c>
      <c r="AJ48" s="126"/>
      <c r="AK48" s="126">
        <v>-1621900</v>
      </c>
      <c r="AL48" s="126" t="s">
        <v>26</v>
      </c>
      <c r="AM48" s="126"/>
      <c r="AO48" s="179"/>
      <c r="AP48" s="125"/>
      <c r="AQ48" s="125"/>
      <c r="AR48" s="125"/>
      <c r="AS48" s="125"/>
      <c r="AX48" s="125"/>
      <c r="AY48" s="124"/>
    </row>
    <row r="49" spans="1:52" x14ac:dyDescent="0.25">
      <c r="C49" s="123" t="s">
        <v>443</v>
      </c>
      <c r="W49" s="126"/>
      <c r="X49" s="126"/>
      <c r="Y49" s="126">
        <v>-150000</v>
      </c>
      <c r="Z49" s="126">
        <v>-150000</v>
      </c>
      <c r="AA49" s="124">
        <v>-150000</v>
      </c>
      <c r="AB49" s="126">
        <v>-150000</v>
      </c>
      <c r="AC49" s="126">
        <v>-150000</v>
      </c>
      <c r="AD49" s="126">
        <v>-150000</v>
      </c>
      <c r="AE49" s="124">
        <v>-150000</v>
      </c>
      <c r="AF49" s="126">
        <v>-150000</v>
      </c>
      <c r="AG49" s="126">
        <v>-150000</v>
      </c>
      <c r="AH49" s="126">
        <v>-150000</v>
      </c>
      <c r="AI49" s="126">
        <v>-150000</v>
      </c>
      <c r="AJ49" s="126">
        <v>-150000</v>
      </c>
      <c r="AK49" s="126">
        <v>-153000</v>
      </c>
      <c r="AL49" s="126">
        <v>-156060</v>
      </c>
      <c r="AM49" s="135">
        <v>-156060</v>
      </c>
      <c r="AN49" s="124">
        <v>-156060</v>
      </c>
      <c r="AO49" s="212">
        <v>-156060</v>
      </c>
      <c r="AP49" s="125"/>
      <c r="AQ49" s="125"/>
      <c r="AR49" s="125"/>
      <c r="AS49" s="125"/>
      <c r="AX49" s="125"/>
      <c r="AY49" s="128">
        <v>-156060</v>
      </c>
    </row>
    <row r="50" spans="1:52" x14ac:dyDescent="0.25">
      <c r="B50" s="123" t="s">
        <v>444</v>
      </c>
      <c r="P50" s="124">
        <v>520000</v>
      </c>
      <c r="Q50" s="124">
        <v>4560000</v>
      </c>
      <c r="R50" s="124">
        <v>4407359.6500000004</v>
      </c>
      <c r="S50" s="124">
        <v>14082536.1</v>
      </c>
      <c r="T50" s="124">
        <v>24370941.949999999</v>
      </c>
      <c r="U50" s="124">
        <v>33330779.25</v>
      </c>
      <c r="V50" s="124">
        <v>32393212.699999999</v>
      </c>
      <c r="W50" s="126">
        <v>32392519.199999999</v>
      </c>
      <c r="X50" s="126">
        <v>32392179.199999999</v>
      </c>
      <c r="Y50" s="126">
        <v>30699679.199999999</v>
      </c>
      <c r="Z50" s="126">
        <v>27098403</v>
      </c>
      <c r="AA50" s="124">
        <v>22182988.699999999</v>
      </c>
      <c r="AB50" s="126">
        <v>14954077.5</v>
      </c>
      <c r="AC50" s="126">
        <v>10760937.6</v>
      </c>
      <c r="AD50" s="126">
        <v>9513306.5999999996</v>
      </c>
      <c r="AE50" s="124">
        <v>8799482</v>
      </c>
      <c r="AF50" s="126">
        <v>9769924.1699999999</v>
      </c>
      <c r="AG50" s="126">
        <v>9718211.8699999992</v>
      </c>
      <c r="AH50" s="126">
        <v>9768517.3699999992</v>
      </c>
      <c r="AI50" s="126">
        <v>7266467.7699999996</v>
      </c>
      <c r="AJ50" s="126">
        <v>7804745.4199999999</v>
      </c>
      <c r="AK50" s="126">
        <v>8279782.4699999997</v>
      </c>
      <c r="AL50" s="126">
        <v>5517875.4699999997</v>
      </c>
      <c r="AM50" s="126">
        <v>4323864.47</v>
      </c>
      <c r="AN50" s="124">
        <v>3129853.47</v>
      </c>
      <c r="AO50" s="212">
        <v>3043940</v>
      </c>
      <c r="AP50" s="125"/>
      <c r="AQ50" s="125"/>
      <c r="AR50" s="125"/>
      <c r="AS50" s="125"/>
      <c r="AT50" s="135">
        <v>17375325</v>
      </c>
      <c r="AU50" s="135">
        <v>17375325</v>
      </c>
      <c r="AV50" s="135">
        <v>13915915</v>
      </c>
      <c r="AX50" s="125"/>
      <c r="AY50" s="124">
        <v>2299816</v>
      </c>
    </row>
    <row r="51" spans="1:52" s="130" customFormat="1" x14ac:dyDescent="0.25">
      <c r="A51" s="122" t="s">
        <v>415</v>
      </c>
      <c r="B51" s="122"/>
      <c r="C51" s="129"/>
      <c r="D51" s="8">
        <v>855367.5</v>
      </c>
      <c r="E51" s="8">
        <v>784287</v>
      </c>
      <c r="F51" s="130">
        <v>1178625.3999999985</v>
      </c>
      <c r="G51" s="130">
        <v>275596.2</v>
      </c>
      <c r="H51" s="130">
        <v>1643271</v>
      </c>
      <c r="I51" s="130">
        <v>199129.14999999851</v>
      </c>
      <c r="J51" s="159">
        <v>2038083.55</v>
      </c>
      <c r="K51" s="159">
        <v>3300348.76</v>
      </c>
      <c r="L51" s="159">
        <v>5447914.1200000001</v>
      </c>
      <c r="M51" s="159">
        <v>5433519.7999999998</v>
      </c>
      <c r="N51" s="159">
        <v>5404871.8099999996</v>
      </c>
      <c r="O51" s="159">
        <v>5304135</v>
      </c>
      <c r="P51" s="159">
        <v>5841327.5</v>
      </c>
      <c r="Q51" s="159">
        <v>10137357.5</v>
      </c>
      <c r="R51" s="159">
        <v>10370212.15</v>
      </c>
      <c r="S51" s="168">
        <v>22868376.100000001</v>
      </c>
      <c r="T51" s="168">
        <v>33268941.949999999</v>
      </c>
      <c r="U51" s="167">
        <v>42237751.75</v>
      </c>
      <c r="V51" s="167">
        <v>41391580.200000003</v>
      </c>
      <c r="W51" s="169">
        <v>41328836.700000003</v>
      </c>
      <c r="X51" s="169">
        <v>41304059.200000003</v>
      </c>
      <c r="Y51" s="169">
        <v>39620984.200000003</v>
      </c>
      <c r="Z51" s="169">
        <v>36011683</v>
      </c>
      <c r="AA51" s="167">
        <v>30677698.699999999</v>
      </c>
      <c r="AB51" s="169">
        <v>23894245</v>
      </c>
      <c r="AC51" s="169">
        <v>18579100.100000001</v>
      </c>
      <c r="AD51" s="169">
        <v>16904359.099999998</v>
      </c>
      <c r="AE51" s="167">
        <v>15324414.5</v>
      </c>
      <c r="AF51" s="178">
        <v>16233771.67</v>
      </c>
      <c r="AG51" s="169">
        <v>15587649.369999999</v>
      </c>
      <c r="AH51" s="169">
        <v>14262914.869999999</v>
      </c>
      <c r="AI51" s="169">
        <v>11403395.27</v>
      </c>
      <c r="AJ51" s="169">
        <v>11686065.42</v>
      </c>
      <c r="AK51" s="169">
        <v>11676992.470000001</v>
      </c>
      <c r="AL51" s="170">
        <v>8476260.4699999988</v>
      </c>
      <c r="AM51" s="170">
        <v>6682249.4699999997</v>
      </c>
      <c r="AN51" s="159">
        <v>4888238.4700000007</v>
      </c>
      <c r="AO51" s="215">
        <v>4802325</v>
      </c>
      <c r="AP51" s="136"/>
      <c r="AQ51" s="136"/>
      <c r="AR51" s="136"/>
      <c r="AS51" s="136"/>
      <c r="AT51" s="134">
        <v>17375325</v>
      </c>
      <c r="AU51" s="134">
        <v>17375325</v>
      </c>
      <c r="AV51" s="134">
        <v>13915915</v>
      </c>
      <c r="AW51" s="126"/>
      <c r="AX51" s="136"/>
      <c r="AY51" s="159">
        <v>3658201</v>
      </c>
    </row>
    <row r="52" spans="1:52" x14ac:dyDescent="0.25">
      <c r="W52" s="126"/>
      <c r="X52" s="126"/>
      <c r="Y52" s="126"/>
      <c r="Z52" s="126"/>
      <c r="AB52" s="126"/>
      <c r="AC52" s="126"/>
      <c r="AD52" s="126"/>
      <c r="AF52" s="126"/>
      <c r="AG52" s="126"/>
      <c r="AH52" s="126"/>
      <c r="AI52" s="126"/>
      <c r="AJ52" s="126"/>
      <c r="AK52" s="126"/>
      <c r="AL52" s="126"/>
      <c r="AM52" s="126"/>
      <c r="AO52" s="179"/>
      <c r="AP52" s="125"/>
      <c r="AQ52" s="125"/>
      <c r="AR52" s="125"/>
      <c r="AS52" s="125"/>
      <c r="AX52" s="125"/>
      <c r="AY52" s="124"/>
    </row>
    <row r="53" spans="1:52" s="131" customFormat="1" x14ac:dyDescent="0.25">
      <c r="A53" s="122" t="s">
        <v>412</v>
      </c>
      <c r="B53" s="122"/>
      <c r="C53" s="122"/>
      <c r="D53" s="130">
        <v>9912494.5</v>
      </c>
      <c r="E53" s="130">
        <v>28944954</v>
      </c>
      <c r="F53" s="131">
        <v>31209037</v>
      </c>
      <c r="G53" s="134">
        <v>44602164.450000003</v>
      </c>
      <c r="H53" s="131">
        <v>40337982.039999999</v>
      </c>
      <c r="I53" s="131">
        <v>41528607.740000002</v>
      </c>
      <c r="J53" s="131">
        <v>48754697.359999999</v>
      </c>
      <c r="K53" s="131">
        <v>48155587.149999999</v>
      </c>
      <c r="L53" s="131">
        <v>52055892.969999999</v>
      </c>
      <c r="M53" s="131">
        <v>52034388.719999999</v>
      </c>
      <c r="N53" s="131">
        <v>52575117.740000002</v>
      </c>
      <c r="O53" s="131">
        <v>51284906.759999998</v>
      </c>
      <c r="P53" s="131">
        <v>67059189.039999999</v>
      </c>
      <c r="Q53" s="131">
        <v>102580313.56999999</v>
      </c>
      <c r="R53" s="131">
        <v>131151883.03</v>
      </c>
      <c r="S53" s="130">
        <v>146576956.11000001</v>
      </c>
      <c r="T53" s="130">
        <v>124489239.63</v>
      </c>
      <c r="U53" s="131">
        <v>103661819.90000001</v>
      </c>
      <c r="V53" s="131">
        <v>97217467.694999993</v>
      </c>
      <c r="W53" s="133">
        <v>110389333.25</v>
      </c>
      <c r="X53" s="133">
        <v>123979980.69</v>
      </c>
      <c r="Y53" s="133">
        <v>132201572.785</v>
      </c>
      <c r="Z53" s="133">
        <v>123645269.02500001</v>
      </c>
      <c r="AA53" s="131">
        <v>127446089.125</v>
      </c>
      <c r="AB53" s="133">
        <v>129620557.545</v>
      </c>
      <c r="AC53" s="133">
        <v>123538069.66500001</v>
      </c>
      <c r="AD53" s="133">
        <v>108518404.41500001</v>
      </c>
      <c r="AE53" s="131">
        <v>99046336.670000002</v>
      </c>
      <c r="AF53" s="133">
        <v>88442234.700000003</v>
      </c>
      <c r="AG53" s="133">
        <v>99942687.959999993</v>
      </c>
      <c r="AH53" s="133">
        <v>101392419.94</v>
      </c>
      <c r="AI53" s="133">
        <v>116722692.92</v>
      </c>
      <c r="AJ53" s="133">
        <v>139764021.37</v>
      </c>
      <c r="AK53" s="133">
        <v>161489426.38999999</v>
      </c>
      <c r="AL53" s="133">
        <v>205437892.03999999</v>
      </c>
      <c r="AM53" s="133">
        <v>191752050.09999999</v>
      </c>
      <c r="AN53" s="131">
        <v>183117648.38</v>
      </c>
      <c r="AO53" s="214">
        <v>183145861</v>
      </c>
      <c r="AP53" s="132"/>
      <c r="AQ53" s="132"/>
      <c r="AR53" s="132"/>
      <c r="AS53" s="132"/>
      <c r="AT53" s="134">
        <v>884917568.49000001</v>
      </c>
      <c r="AU53" s="134">
        <v>898530908.63999999</v>
      </c>
      <c r="AV53" s="134">
        <v>973402271.24000001</v>
      </c>
      <c r="AW53" s="134">
        <v>891700000</v>
      </c>
      <c r="AX53" s="132"/>
      <c r="AY53" s="130">
        <v>200341392</v>
      </c>
      <c r="AZ53" s="131">
        <v>253045915.15000001</v>
      </c>
    </row>
    <row r="54" spans="1:52" x14ac:dyDescent="0.25">
      <c r="W54" s="126"/>
      <c r="X54" s="126"/>
      <c r="Y54" s="126"/>
      <c r="Z54" s="126"/>
      <c r="AB54" s="126"/>
      <c r="AC54" s="126"/>
      <c r="AD54" s="126"/>
      <c r="AF54" s="126"/>
      <c r="AG54" s="126"/>
      <c r="AH54" s="126"/>
      <c r="AI54" s="126"/>
      <c r="AJ54" s="126"/>
      <c r="AK54" s="126"/>
      <c r="AL54" s="126"/>
      <c r="AM54" s="126"/>
      <c r="AO54" s="179"/>
      <c r="AP54" s="132"/>
      <c r="AQ54" s="132"/>
      <c r="AR54" s="132"/>
      <c r="AS54" s="132"/>
      <c r="AX54" s="125"/>
      <c r="AY54" s="124"/>
    </row>
    <row r="55" spans="1:52" x14ac:dyDescent="0.25">
      <c r="A55" s="129" t="s">
        <v>434</v>
      </c>
      <c r="B55" s="129"/>
      <c r="D55" s="130">
        <f t="shared" ref="D55:I55" si="0">IF(ISNUMBER(D6),D13-SUM(D6:D12),0)</f>
        <v>0</v>
      </c>
      <c r="E55" s="130">
        <f t="shared" si="0"/>
        <v>0</v>
      </c>
      <c r="F55" s="130">
        <f t="shared" si="0"/>
        <v>0</v>
      </c>
      <c r="G55" s="130">
        <f t="shared" si="0"/>
        <v>0</v>
      </c>
      <c r="H55" s="130">
        <f t="shared" si="0"/>
        <v>0</v>
      </c>
      <c r="I55" s="130">
        <f t="shared" si="0"/>
        <v>0</v>
      </c>
      <c r="J55" s="130">
        <f t="shared" ref="J55:AN55" si="1">IF(ISNUMBER(J7),J13-SUM(J7:J12),0)</f>
        <v>26432000</v>
      </c>
      <c r="K55" s="130">
        <f t="shared" si="1"/>
        <v>0</v>
      </c>
      <c r="L55" s="130">
        <f t="shared" si="1"/>
        <v>0</v>
      </c>
      <c r="M55" s="130">
        <f t="shared" si="1"/>
        <v>0</v>
      </c>
      <c r="N55" s="130">
        <f t="shared" si="1"/>
        <v>0</v>
      </c>
      <c r="O55" s="130">
        <f t="shared" si="1"/>
        <v>0</v>
      </c>
      <c r="P55" s="130">
        <f t="shared" si="1"/>
        <v>0</v>
      </c>
      <c r="Q55" s="130">
        <f t="shared" si="1"/>
        <v>0</v>
      </c>
      <c r="R55" s="130">
        <f t="shared" si="1"/>
        <v>0</v>
      </c>
      <c r="S55" s="130">
        <f t="shared" si="1"/>
        <v>0</v>
      </c>
      <c r="T55" s="130">
        <f t="shared" si="1"/>
        <v>0</v>
      </c>
      <c r="U55" s="130">
        <f t="shared" si="1"/>
        <v>0</v>
      </c>
      <c r="V55" s="130">
        <f t="shared" si="1"/>
        <v>0</v>
      </c>
      <c r="W55" s="130">
        <f t="shared" si="1"/>
        <v>0</v>
      </c>
      <c r="X55" s="130">
        <f t="shared" si="1"/>
        <v>0</v>
      </c>
      <c r="Y55" s="130">
        <f t="shared" si="1"/>
        <v>0</v>
      </c>
      <c r="Z55" s="130">
        <f t="shared" si="1"/>
        <v>0</v>
      </c>
      <c r="AA55" s="130">
        <f t="shared" si="1"/>
        <v>0</v>
      </c>
      <c r="AB55" s="130">
        <f t="shared" si="1"/>
        <v>0</v>
      </c>
      <c r="AC55" s="130">
        <f t="shared" si="1"/>
        <v>0</v>
      </c>
      <c r="AD55" s="130">
        <f t="shared" si="1"/>
        <v>0</v>
      </c>
      <c r="AE55" s="130">
        <f t="shared" si="1"/>
        <v>0</v>
      </c>
      <c r="AF55" s="130">
        <f t="shared" si="1"/>
        <v>0</v>
      </c>
      <c r="AG55" s="130">
        <f t="shared" si="1"/>
        <v>0</v>
      </c>
      <c r="AH55" s="130">
        <f t="shared" si="1"/>
        <v>0</v>
      </c>
      <c r="AI55" s="130">
        <f t="shared" si="1"/>
        <v>0</v>
      </c>
      <c r="AJ55" s="130">
        <f t="shared" si="1"/>
        <v>0</v>
      </c>
      <c r="AK55" s="130">
        <f t="shared" si="1"/>
        <v>0</v>
      </c>
      <c r="AL55" s="130">
        <f t="shared" si="1"/>
        <v>0</v>
      </c>
      <c r="AM55" s="130">
        <f t="shared" si="1"/>
        <v>0</v>
      </c>
      <c r="AN55" s="130">
        <f t="shared" si="1"/>
        <v>0</v>
      </c>
      <c r="AO55" s="213">
        <f t="shared" ref="AO55" si="2">IF(ISNUMBER(AO7),AO13-SUM(AO7:AO12),0)</f>
        <v>0</v>
      </c>
      <c r="AP55" s="132"/>
      <c r="AQ55" s="132"/>
      <c r="AR55" s="132"/>
      <c r="AS55" s="132"/>
      <c r="AT55" s="130">
        <f>IF(ISNUMBER(AT7),AT13-SUM(AT7:AT12),0)</f>
        <v>0</v>
      </c>
      <c r="AU55" s="130">
        <f>IF(ISNUMBER(AU7),AU13-SUM(AU7:AU12),0)</f>
        <v>0</v>
      </c>
      <c r="AV55" s="130">
        <f>IF(ISNUMBER(AV7),AV13-SUM(AV7:AV12),0)</f>
        <v>0</v>
      </c>
      <c r="AW55" s="130">
        <f>IF(ISNUMBER(AW7),AW13-SUM(AW7:AW12),0)</f>
        <v>0</v>
      </c>
      <c r="AX55" s="125"/>
      <c r="AY55" s="130">
        <f t="shared" ref="AY55" si="3">IF(ISNUMBER(AY7),AY13-SUM(AY7:AY12),0)</f>
        <v>0</v>
      </c>
      <c r="AZ55" s="130">
        <f>IF(ISNUMBER(AZ7),AZ13-SUM(AZ7:AZ12),0)</f>
        <v>0</v>
      </c>
    </row>
    <row r="56" spans="1:52" x14ac:dyDescent="0.25">
      <c r="A56" s="129" t="s">
        <v>450</v>
      </c>
      <c r="B56" s="129"/>
      <c r="D56" s="130">
        <f>IF(ISNUMBER(D20),D21-SUM(D17:D20),"not applicable")</f>
        <v>0</v>
      </c>
      <c r="E56" s="130" t="str">
        <f t="shared" ref="E56:AN56" si="4">IF(ISNUMBER(E20),E21-SUM(E17:E20),"not applicable")</f>
        <v>not applicable</v>
      </c>
      <c r="F56" s="130" t="str">
        <f t="shared" si="4"/>
        <v>not applicable</v>
      </c>
      <c r="G56" s="130" t="str">
        <f t="shared" si="4"/>
        <v>not applicable</v>
      </c>
      <c r="H56" s="130" t="str">
        <f t="shared" si="4"/>
        <v>not applicable</v>
      </c>
      <c r="I56" s="130" t="str">
        <f t="shared" si="4"/>
        <v>not applicable</v>
      </c>
      <c r="J56" s="130" t="str">
        <f t="shared" si="4"/>
        <v>not applicable</v>
      </c>
      <c r="K56" s="130" t="str">
        <f t="shared" si="4"/>
        <v>not applicable</v>
      </c>
      <c r="L56" s="130" t="str">
        <f t="shared" si="4"/>
        <v>not applicable</v>
      </c>
      <c r="M56" s="130" t="str">
        <f t="shared" si="4"/>
        <v>not applicable</v>
      </c>
      <c r="N56" s="130" t="str">
        <f t="shared" si="4"/>
        <v>not applicable</v>
      </c>
      <c r="O56" s="130" t="str">
        <f t="shared" si="4"/>
        <v>not applicable</v>
      </c>
      <c r="P56" s="130" t="str">
        <f t="shared" si="4"/>
        <v>not applicable</v>
      </c>
      <c r="Q56" s="130" t="str">
        <f t="shared" si="4"/>
        <v>not applicable</v>
      </c>
      <c r="R56" s="130" t="str">
        <f t="shared" si="4"/>
        <v>not applicable</v>
      </c>
      <c r="S56" s="130" t="str">
        <f t="shared" si="4"/>
        <v>not applicable</v>
      </c>
      <c r="T56" s="130" t="str">
        <f t="shared" si="4"/>
        <v>not applicable</v>
      </c>
      <c r="U56" s="130">
        <f t="shared" si="4"/>
        <v>-7.4505805969238281E-9</v>
      </c>
      <c r="V56" s="130">
        <f t="shared" si="4"/>
        <v>-7.4505805969238281E-9</v>
      </c>
      <c r="W56" s="130">
        <f t="shared" si="4"/>
        <v>-7.4505805969238281E-9</v>
      </c>
      <c r="X56" s="130">
        <f t="shared" si="4"/>
        <v>-7.4505805969238281E-9</v>
      </c>
      <c r="Y56" s="130">
        <f t="shared" si="4"/>
        <v>-7.4505805969238281E-9</v>
      </c>
      <c r="Z56" s="130">
        <f t="shared" si="4"/>
        <v>0</v>
      </c>
      <c r="AA56" s="130">
        <f t="shared" si="4"/>
        <v>-7.4505805969238281E-9</v>
      </c>
      <c r="AB56" s="130">
        <f t="shared" si="4"/>
        <v>0</v>
      </c>
      <c r="AC56" s="130">
        <f t="shared" si="4"/>
        <v>0</v>
      </c>
      <c r="AD56" s="130">
        <f t="shared" si="4"/>
        <v>0</v>
      </c>
      <c r="AE56" s="130">
        <f t="shared" si="4"/>
        <v>0</v>
      </c>
      <c r="AF56" s="130">
        <f t="shared" si="4"/>
        <v>0</v>
      </c>
      <c r="AG56" s="130">
        <f t="shared" si="4"/>
        <v>0</v>
      </c>
      <c r="AH56" s="130">
        <f>IF(ISNUMBER(AH20),AH21-SUM(AH17:AH20),"not applicable")</f>
        <v>-7.4505805969238281E-9</v>
      </c>
      <c r="AI56" s="130">
        <f t="shared" si="4"/>
        <v>0</v>
      </c>
      <c r="AJ56" s="130">
        <f t="shared" si="4"/>
        <v>-7.4505805969238281E-9</v>
      </c>
      <c r="AK56" s="130">
        <f t="shared" si="4"/>
        <v>0</v>
      </c>
      <c r="AL56" s="130">
        <f t="shared" si="4"/>
        <v>0</v>
      </c>
      <c r="AM56" s="130">
        <f t="shared" si="4"/>
        <v>0</v>
      </c>
      <c r="AN56" s="130">
        <f t="shared" si="4"/>
        <v>7.4505805969238281E-9</v>
      </c>
      <c r="AO56" s="213" t="str">
        <f t="shared" ref="AO56" si="5">IF(ISNUMBER(AO20),AO21-SUM(AO17:AO20),"not applicable")</f>
        <v>not applicable</v>
      </c>
      <c r="AP56" s="132"/>
      <c r="AQ56" s="132"/>
      <c r="AR56" s="132"/>
      <c r="AS56" s="132"/>
      <c r="AT56" s="130" t="str">
        <f t="shared" ref="AT56:AW56" si="6">IF(ISNUMBER(AT20),AT21-SUM(AT17:AT20),"not applicable")</f>
        <v>not applicable</v>
      </c>
      <c r="AU56" s="130" t="str">
        <f t="shared" si="6"/>
        <v>not applicable</v>
      </c>
      <c r="AV56" s="130" t="str">
        <f t="shared" si="6"/>
        <v>not applicable</v>
      </c>
      <c r="AW56" s="130" t="str">
        <f t="shared" si="6"/>
        <v>not applicable</v>
      </c>
      <c r="AX56" s="125"/>
      <c r="AY56" s="130">
        <f t="shared" ref="AY56" si="7">IF(ISNUMBER(AY20),AY21-SUM(AY17:AY20),"not applicable")</f>
        <v>0</v>
      </c>
      <c r="AZ56" s="130" t="str">
        <f t="shared" ref="AZ56" si="8">IF(ISNUMBER(AZ20),AZ21-SUM(AZ17:AZ20),"not applicable")</f>
        <v>not applicable</v>
      </c>
    </row>
    <row r="57" spans="1:52" x14ac:dyDescent="0.25">
      <c r="A57" s="129" t="s">
        <v>451</v>
      </c>
      <c r="B57" s="129"/>
      <c r="D57" s="130" t="str">
        <f>IF(ISNUMBER(D26),D28-SUM(D23:D27),"not applicable")</f>
        <v>not applicable</v>
      </c>
      <c r="E57" s="130" t="str">
        <f t="shared" ref="E57:AN57" si="9">IF(ISNUMBER(E26),E28-SUM(E23:E27),"not applicable")</f>
        <v>not applicable</v>
      </c>
      <c r="F57" s="130" t="str">
        <f t="shared" si="9"/>
        <v>not applicable</v>
      </c>
      <c r="G57" s="130" t="str">
        <f t="shared" si="9"/>
        <v>not applicable</v>
      </c>
      <c r="H57" s="130" t="str">
        <f t="shared" si="9"/>
        <v>not applicable</v>
      </c>
      <c r="I57" s="130" t="str">
        <f t="shared" si="9"/>
        <v>not applicable</v>
      </c>
      <c r="J57" s="130" t="str">
        <f t="shared" si="9"/>
        <v>not applicable</v>
      </c>
      <c r="K57" s="130" t="str">
        <f t="shared" si="9"/>
        <v>not applicable</v>
      </c>
      <c r="L57" s="130" t="str">
        <f t="shared" si="9"/>
        <v>not applicable</v>
      </c>
      <c r="M57" s="130" t="str">
        <f t="shared" si="9"/>
        <v>not applicable</v>
      </c>
      <c r="N57" s="130" t="str">
        <f t="shared" si="9"/>
        <v>not applicable</v>
      </c>
      <c r="O57" s="130" t="str">
        <f t="shared" si="9"/>
        <v>not applicable</v>
      </c>
      <c r="P57" s="130" t="str">
        <f t="shared" si="9"/>
        <v>not applicable</v>
      </c>
      <c r="Q57" s="130" t="str">
        <f t="shared" si="9"/>
        <v>not applicable</v>
      </c>
      <c r="R57" s="130" t="str">
        <f t="shared" si="9"/>
        <v>not applicable</v>
      </c>
      <c r="S57" s="130" t="str">
        <f t="shared" si="9"/>
        <v>not applicable</v>
      </c>
      <c r="T57" s="130" t="str">
        <f t="shared" si="9"/>
        <v>not applicable</v>
      </c>
      <c r="U57" s="130">
        <f t="shared" si="9"/>
        <v>3.7252902984619141E-9</v>
      </c>
      <c r="V57" s="130">
        <f t="shared" si="9"/>
        <v>0</v>
      </c>
      <c r="W57" s="130">
        <f t="shared" si="9"/>
        <v>0</v>
      </c>
      <c r="X57" s="130">
        <f t="shared" si="9"/>
        <v>-3.7252902984619141E-9</v>
      </c>
      <c r="Y57" s="130">
        <f t="shared" si="9"/>
        <v>0</v>
      </c>
      <c r="Z57" s="130">
        <f t="shared" si="9"/>
        <v>0</v>
      </c>
      <c r="AA57" s="130">
        <f t="shared" si="9"/>
        <v>-3.7252902984619141E-9</v>
      </c>
      <c r="AB57" s="130">
        <f t="shared" si="9"/>
        <v>3.7252902984619141E-9</v>
      </c>
      <c r="AC57" s="130">
        <f t="shared" si="9"/>
        <v>0</v>
      </c>
      <c r="AD57" s="130">
        <f t="shared" si="9"/>
        <v>-3.7252902984619141E-9</v>
      </c>
      <c r="AE57" s="130">
        <f t="shared" si="9"/>
        <v>0</v>
      </c>
      <c r="AF57" s="130">
        <f t="shared" si="9"/>
        <v>0</v>
      </c>
      <c r="AG57" s="130">
        <f t="shared" si="9"/>
        <v>0</v>
      </c>
      <c r="AH57" s="130">
        <f t="shared" si="9"/>
        <v>0</v>
      </c>
      <c r="AI57" s="130">
        <f t="shared" si="9"/>
        <v>-3.7252902984619141E-9</v>
      </c>
      <c r="AJ57" s="130">
        <f t="shared" si="9"/>
        <v>-3.7252902984619141E-9</v>
      </c>
      <c r="AK57" s="130">
        <f t="shared" si="9"/>
        <v>0</v>
      </c>
      <c r="AL57" s="130">
        <f t="shared" si="9"/>
        <v>0</v>
      </c>
      <c r="AM57" s="130">
        <f t="shared" si="9"/>
        <v>0</v>
      </c>
      <c r="AN57" s="130">
        <f t="shared" si="9"/>
        <v>0</v>
      </c>
      <c r="AO57" s="213" t="str">
        <f t="shared" ref="AO57" si="10">IF(ISNUMBER(AO26),AO28-SUM(AO23:AO27),"not applicable")</f>
        <v>not applicable</v>
      </c>
      <c r="AP57" s="132"/>
      <c r="AQ57" s="132"/>
      <c r="AR57" s="132"/>
      <c r="AS57" s="132"/>
      <c r="AT57" s="130" t="str">
        <f t="shared" ref="AT57:AW57" si="11">IF(ISNUMBER(AT26),AT28-SUM(AT23:AT27),"not applicable")</f>
        <v>not applicable</v>
      </c>
      <c r="AU57" s="130" t="str">
        <f t="shared" si="11"/>
        <v>not applicable</v>
      </c>
      <c r="AV57" s="130" t="str">
        <f t="shared" si="11"/>
        <v>not applicable</v>
      </c>
      <c r="AW57" s="130" t="str">
        <f t="shared" si="11"/>
        <v>not applicable</v>
      </c>
      <c r="AX57" s="125"/>
      <c r="AY57" s="130">
        <f t="shared" ref="AY57" si="12">IF(ISNUMBER(AY26),AY28-SUM(AY23:AY27),"not applicable")</f>
        <v>0</v>
      </c>
      <c r="AZ57" s="130" t="str">
        <f t="shared" ref="AZ57" si="13">IF(ISNUMBER(AZ26),AZ28-SUM(AZ23:AZ27),"not applicable")</f>
        <v>not applicable</v>
      </c>
    </row>
    <row r="58" spans="1:52" x14ac:dyDescent="0.25">
      <c r="A58" s="129" t="s">
        <v>449</v>
      </c>
      <c r="B58" s="129"/>
      <c r="D58" s="130">
        <f t="shared" ref="D58:AN58" si="14">IF(ISNUMBER(D21),D21+D28-D29,"not applicable")</f>
        <v>0</v>
      </c>
      <c r="E58" s="130">
        <f t="shared" si="14"/>
        <v>0</v>
      </c>
      <c r="F58" s="130">
        <f t="shared" si="14"/>
        <v>-3.7252902984619141E-9</v>
      </c>
      <c r="G58" s="130">
        <f t="shared" si="14"/>
        <v>0</v>
      </c>
      <c r="H58" s="130">
        <f t="shared" si="14"/>
        <v>0</v>
      </c>
      <c r="I58" s="130">
        <f t="shared" si="14"/>
        <v>3.7252902984619141E-9</v>
      </c>
      <c r="J58" s="130">
        <f t="shared" si="14"/>
        <v>0</v>
      </c>
      <c r="K58" s="130">
        <f t="shared" si="14"/>
        <v>-3.7252902984619141E-9</v>
      </c>
      <c r="L58" s="130">
        <f t="shared" si="14"/>
        <v>0</v>
      </c>
      <c r="M58" s="130">
        <f t="shared" si="14"/>
        <v>0</v>
      </c>
      <c r="N58" s="130">
        <f t="shared" si="14"/>
        <v>0</v>
      </c>
      <c r="O58" s="130">
        <f t="shared" si="14"/>
        <v>-1.862645149230957E-9</v>
      </c>
      <c r="P58" s="130">
        <f t="shared" si="14"/>
        <v>0</v>
      </c>
      <c r="Q58" s="130">
        <f t="shared" si="14"/>
        <v>0</v>
      </c>
      <c r="R58" s="130">
        <f t="shared" si="14"/>
        <v>0</v>
      </c>
      <c r="S58" s="130">
        <f t="shared" si="14"/>
        <v>0</v>
      </c>
      <c r="T58" s="130">
        <f t="shared" si="14"/>
        <v>0</v>
      </c>
      <c r="U58" s="130">
        <f t="shared" si="14"/>
        <v>-3.7252902984619141E-9</v>
      </c>
      <c r="V58" s="130">
        <f t="shared" si="14"/>
        <v>-3.7252902984619141E-9</v>
      </c>
      <c r="W58" s="130">
        <f t="shared" si="14"/>
        <v>-3.7252902984619141E-9</v>
      </c>
      <c r="X58" s="130">
        <f t="shared" si="14"/>
        <v>-3.7252902984619141E-9</v>
      </c>
      <c r="Y58" s="130">
        <f t="shared" si="14"/>
        <v>-3.7252902984619141E-9</v>
      </c>
      <c r="Z58" s="130">
        <f t="shared" si="14"/>
        <v>7.4505805969238281E-9</v>
      </c>
      <c r="AA58" s="130">
        <f t="shared" si="14"/>
        <v>-3.7252902984619141E-9</v>
      </c>
      <c r="AB58" s="130">
        <f t="shared" si="14"/>
        <v>0</v>
      </c>
      <c r="AC58" s="130">
        <f t="shared" si="14"/>
        <v>-3.7252902984619141E-9</v>
      </c>
      <c r="AD58" s="130">
        <f t="shared" si="14"/>
        <v>-3.7252902984619141E-9</v>
      </c>
      <c r="AE58" s="130">
        <f t="shared" si="14"/>
        <v>-3.7252902984619141E-9</v>
      </c>
      <c r="AF58" s="130">
        <f t="shared" si="14"/>
        <v>0</v>
      </c>
      <c r="AG58" s="130">
        <f t="shared" si="14"/>
        <v>0</v>
      </c>
      <c r="AH58" s="130">
        <f t="shared" si="14"/>
        <v>0</v>
      </c>
      <c r="AI58" s="130">
        <f t="shared" si="14"/>
        <v>3.7252902984619141E-9</v>
      </c>
      <c r="AJ58" s="130">
        <f t="shared" si="14"/>
        <v>-3.7252902984619141E-9</v>
      </c>
      <c r="AK58" s="130">
        <f t="shared" si="14"/>
        <v>0</v>
      </c>
      <c r="AL58" s="130">
        <f t="shared" si="14"/>
        <v>0</v>
      </c>
      <c r="AM58" s="130">
        <f t="shared" si="14"/>
        <v>7.4505805969238281E-9</v>
      </c>
      <c r="AN58" s="130">
        <f t="shared" si="14"/>
        <v>3.7252902984619141E-9</v>
      </c>
      <c r="AO58" s="213" t="str">
        <f t="shared" ref="AO58" si="15">IF(ISNUMBER(AO21),AO21+AO28-AO29,"not applicable")</f>
        <v>not applicable</v>
      </c>
      <c r="AP58" s="132"/>
      <c r="AQ58" s="132"/>
      <c r="AR58" s="132"/>
      <c r="AS58" s="132"/>
      <c r="AT58" s="130" t="str">
        <f>IF(ISNUMBER(AT21),AT21+AT28-AT29,"not applicable")</f>
        <v>not applicable</v>
      </c>
      <c r="AU58" s="130" t="str">
        <f>IF(ISNUMBER(AU21),AU21+AU28-AU29,"not applicable")</f>
        <v>not applicable</v>
      </c>
      <c r="AV58" s="130" t="str">
        <f>IF(ISNUMBER(AV21),AV21+AV28-AV29,"not applicable")</f>
        <v>not applicable</v>
      </c>
      <c r="AW58" s="130" t="str">
        <f>IF(ISNUMBER(AW21),AW21+AW28-AW29,"not applicable")</f>
        <v>not applicable</v>
      </c>
      <c r="AX58" s="125"/>
      <c r="AY58" s="130">
        <f t="shared" ref="AY58" si="16">IF(ISNUMBER(AY21),AY21+AY28-AY29,"not applicable")</f>
        <v>0</v>
      </c>
      <c r="AZ58" s="130" t="str">
        <f>IF(ISNUMBER(AZ21),AZ21+AZ28-AZ29,"not applicable")</f>
        <v>not applicable</v>
      </c>
    </row>
    <row r="59" spans="1:52" x14ac:dyDescent="0.25">
      <c r="A59" s="129" t="s">
        <v>431</v>
      </c>
      <c r="B59" s="129"/>
      <c r="D59" s="130">
        <f t="shared" ref="D59:AN59" si="17">IF(ISNUMBER(D37),D43-SUM(D35:D42),0)</f>
        <v>0</v>
      </c>
      <c r="E59" s="130">
        <f t="shared" si="17"/>
        <v>0</v>
      </c>
      <c r="F59" s="130">
        <f t="shared" si="17"/>
        <v>0</v>
      </c>
      <c r="G59" s="130">
        <f t="shared" si="17"/>
        <v>0</v>
      </c>
      <c r="H59" s="130">
        <f t="shared" si="17"/>
        <v>0</v>
      </c>
      <c r="I59" s="130">
        <f t="shared" si="17"/>
        <v>0</v>
      </c>
      <c r="J59" s="130">
        <f t="shared" si="17"/>
        <v>-3.0267983675003052E-9</v>
      </c>
      <c r="K59" s="130">
        <f t="shared" si="17"/>
        <v>-1.862645149230957E-9</v>
      </c>
      <c r="L59" s="130">
        <f t="shared" si="17"/>
        <v>-2.7939677238464355E-9</v>
      </c>
      <c r="M59" s="130">
        <f t="shared" si="17"/>
        <v>-2.7939677238464355E-9</v>
      </c>
      <c r="N59" s="130">
        <f t="shared" si="17"/>
        <v>2.7939677238464355E-9</v>
      </c>
      <c r="O59" s="130">
        <f t="shared" si="17"/>
        <v>0</v>
      </c>
      <c r="P59" s="130">
        <f t="shared" si="17"/>
        <v>0</v>
      </c>
      <c r="Q59" s="130">
        <f t="shared" si="17"/>
        <v>0</v>
      </c>
      <c r="R59" s="130">
        <f t="shared" si="17"/>
        <v>0</v>
      </c>
      <c r="S59" s="130">
        <f t="shared" si="17"/>
        <v>0</v>
      </c>
      <c r="T59" s="130">
        <f t="shared" si="17"/>
        <v>0</v>
      </c>
      <c r="U59" s="130">
        <f t="shared" si="17"/>
        <v>0</v>
      </c>
      <c r="V59" s="130">
        <f t="shared" si="17"/>
        <v>0</v>
      </c>
      <c r="W59" s="130">
        <f t="shared" si="17"/>
        <v>0</v>
      </c>
      <c r="X59" s="130">
        <f t="shared" si="17"/>
        <v>0</v>
      </c>
      <c r="Y59" s="130">
        <f t="shared" si="17"/>
        <v>0</v>
      </c>
      <c r="Z59" s="130">
        <f t="shared" si="17"/>
        <v>0</v>
      </c>
      <c r="AA59" s="130">
        <f t="shared" si="17"/>
        <v>0</v>
      </c>
      <c r="AB59" s="130">
        <f t="shared" si="17"/>
        <v>0</v>
      </c>
      <c r="AC59" s="130">
        <f t="shared" si="17"/>
        <v>0</v>
      </c>
      <c r="AD59" s="130">
        <f t="shared" si="17"/>
        <v>0</v>
      </c>
      <c r="AE59" s="130">
        <f t="shared" si="17"/>
        <v>0</v>
      </c>
      <c r="AF59" s="130">
        <f t="shared" si="17"/>
        <v>0</v>
      </c>
      <c r="AG59" s="130">
        <f t="shared" si="17"/>
        <v>0</v>
      </c>
      <c r="AH59" s="130">
        <f t="shared" si="17"/>
        <v>0</v>
      </c>
      <c r="AI59" s="130">
        <f t="shared" si="17"/>
        <v>0</v>
      </c>
      <c r="AJ59" s="130">
        <f t="shared" si="17"/>
        <v>0</v>
      </c>
      <c r="AK59" s="130">
        <f t="shared" si="17"/>
        <v>0</v>
      </c>
      <c r="AL59" s="130">
        <f t="shared" si="17"/>
        <v>0</v>
      </c>
      <c r="AM59" s="130">
        <f t="shared" si="17"/>
        <v>0</v>
      </c>
      <c r="AN59" s="130">
        <f t="shared" si="17"/>
        <v>0</v>
      </c>
      <c r="AO59" s="213">
        <f t="shared" ref="AO59" si="18">IF(ISNUMBER(AO37),AO43-SUM(AO35:AO42),0)</f>
        <v>0</v>
      </c>
      <c r="AP59" s="132"/>
      <c r="AQ59" s="132"/>
      <c r="AR59" s="132"/>
      <c r="AS59" s="132"/>
      <c r="AT59" s="130">
        <f>IF(ISNUMBER(AT37),AT43-SUM(AT35:AT42),0)</f>
        <v>0</v>
      </c>
      <c r="AU59" s="130">
        <f>IF(ISNUMBER(AU37),AU43-SUM(AU35:AU42),0)</f>
        <v>0</v>
      </c>
      <c r="AV59" s="130">
        <f>IF(ISNUMBER(AV37),AV43-SUM(AV35:AV42),0)</f>
        <v>0</v>
      </c>
      <c r="AW59" s="130">
        <f>IF(ISNUMBER(AW37),AW43-SUM(AW35:AW42),0)</f>
        <v>0</v>
      </c>
      <c r="AX59" s="125"/>
      <c r="AY59" s="130">
        <f t="shared" ref="AY59" si="19">IF(ISNUMBER(AY37),AY43-SUM(AY35:AY42),0)</f>
        <v>0</v>
      </c>
      <c r="AZ59" s="130">
        <f>IF(ISNUMBER(AZ37),AZ43-SUM(AZ35:AZ42),0)</f>
        <v>0</v>
      </c>
    </row>
    <row r="60" spans="1:52" x14ac:dyDescent="0.25">
      <c r="A60" s="129" t="s">
        <v>432</v>
      </c>
      <c r="B60" s="129"/>
      <c r="D60" s="130">
        <f t="shared" ref="D60:AN60" si="20">IF(ISNUMBER(D45),D50-SUM(D45:D49),0)</f>
        <v>0</v>
      </c>
      <c r="E60" s="130">
        <f t="shared" si="20"/>
        <v>0</v>
      </c>
      <c r="F60" s="130">
        <f t="shared" si="20"/>
        <v>0</v>
      </c>
      <c r="G60" s="130">
        <f t="shared" si="20"/>
        <v>0</v>
      </c>
      <c r="H60" s="130">
        <f t="shared" si="20"/>
        <v>0</v>
      </c>
      <c r="I60" s="130">
        <f t="shared" si="20"/>
        <v>0</v>
      </c>
      <c r="J60" s="130">
        <f t="shared" si="20"/>
        <v>0</v>
      </c>
      <c r="K60" s="130">
        <f t="shared" si="20"/>
        <v>0</v>
      </c>
      <c r="L60" s="130">
        <f t="shared" si="20"/>
        <v>0</v>
      </c>
      <c r="M60" s="130">
        <f t="shared" si="20"/>
        <v>0</v>
      </c>
      <c r="N60" s="130">
        <f t="shared" si="20"/>
        <v>0</v>
      </c>
      <c r="O60" s="130">
        <f t="shared" si="20"/>
        <v>0</v>
      </c>
      <c r="P60" s="130">
        <f t="shared" si="20"/>
        <v>0</v>
      </c>
      <c r="Q60" s="130">
        <f t="shared" si="20"/>
        <v>0</v>
      </c>
      <c r="R60" s="130">
        <f t="shared" si="20"/>
        <v>0</v>
      </c>
      <c r="S60" s="130">
        <f t="shared" si="20"/>
        <v>0</v>
      </c>
      <c r="T60" s="130">
        <f t="shared" si="20"/>
        <v>0</v>
      </c>
      <c r="U60" s="130">
        <f t="shared" si="20"/>
        <v>0</v>
      </c>
      <c r="V60" s="130">
        <f t="shared" si="20"/>
        <v>0</v>
      </c>
      <c r="W60" s="130">
        <f t="shared" si="20"/>
        <v>0</v>
      </c>
      <c r="X60" s="130">
        <f t="shared" si="20"/>
        <v>0</v>
      </c>
      <c r="Y60" s="130">
        <f t="shared" si="20"/>
        <v>0</v>
      </c>
      <c r="Z60" s="130">
        <f t="shared" si="20"/>
        <v>0</v>
      </c>
      <c r="AA60" s="130">
        <f t="shared" si="20"/>
        <v>0</v>
      </c>
      <c r="AB60" s="130">
        <f t="shared" si="20"/>
        <v>0</v>
      </c>
      <c r="AC60" s="130">
        <f t="shared" si="20"/>
        <v>0</v>
      </c>
      <c r="AD60" s="130">
        <f t="shared" si="20"/>
        <v>0</v>
      </c>
      <c r="AE60" s="130">
        <f t="shared" si="20"/>
        <v>0</v>
      </c>
      <c r="AF60" s="130">
        <f t="shared" si="20"/>
        <v>0</v>
      </c>
      <c r="AG60" s="130">
        <f t="shared" si="20"/>
        <v>0</v>
      </c>
      <c r="AH60" s="130">
        <f t="shared" si="20"/>
        <v>0</v>
      </c>
      <c r="AI60" s="130">
        <f t="shared" si="20"/>
        <v>0</v>
      </c>
      <c r="AJ60" s="130">
        <f t="shared" si="20"/>
        <v>0</v>
      </c>
      <c r="AK60" s="130">
        <f t="shared" si="20"/>
        <v>-9.3132257461547852E-10</v>
      </c>
      <c r="AL60" s="130">
        <f t="shared" si="20"/>
        <v>0</v>
      </c>
      <c r="AM60" s="130">
        <f t="shared" si="20"/>
        <v>0</v>
      </c>
      <c r="AN60" s="130">
        <f t="shared" si="20"/>
        <v>0</v>
      </c>
      <c r="AO60" s="213">
        <f t="shared" ref="AO60" si="21">IF(ISNUMBER(AO45),AO50-SUM(AO45:AO49),0)</f>
        <v>0</v>
      </c>
      <c r="AP60" s="132"/>
      <c r="AQ60" s="132"/>
      <c r="AR60" s="132"/>
      <c r="AS60" s="132"/>
      <c r="AT60" s="130">
        <f>IF(ISNUMBER(AT45),AT50-SUM(AT45:AT49),0)</f>
        <v>0</v>
      </c>
      <c r="AU60" s="130">
        <f>IF(ISNUMBER(AU45),AU50-SUM(AU45:AU49),0)</f>
        <v>0</v>
      </c>
      <c r="AV60" s="130">
        <f>IF(ISNUMBER(AV45),AV50-SUM(AV45:AV49),0)</f>
        <v>0</v>
      </c>
      <c r="AW60" s="130">
        <f>IF(ISNUMBER(AW45),AW50-SUM(AW45:AW49),0)</f>
        <v>0</v>
      </c>
      <c r="AX60" s="125"/>
      <c r="AY60" s="130">
        <f t="shared" ref="AY60" si="22">IF(ISNUMBER(AY45),AY50-SUM(AY45:AY49),0)</f>
        <v>0</v>
      </c>
      <c r="AZ60" s="130">
        <f>IF(ISNUMBER(AZ45),AZ50-SUM(AZ45:AZ49),0)</f>
        <v>0</v>
      </c>
    </row>
    <row r="61" spans="1:52" x14ac:dyDescent="0.25">
      <c r="A61" s="129" t="s">
        <v>433</v>
      </c>
      <c r="B61" s="129"/>
      <c r="D61" s="130">
        <f t="shared" ref="D61:AN61" si="23">D51-D43-D50</f>
        <v>0</v>
      </c>
      <c r="E61" s="130">
        <f t="shared" si="23"/>
        <v>0</v>
      </c>
      <c r="F61" s="130">
        <f t="shared" si="23"/>
        <v>0</v>
      </c>
      <c r="G61" s="130">
        <f t="shared" si="23"/>
        <v>0</v>
      </c>
      <c r="H61" s="130">
        <f t="shared" si="23"/>
        <v>0</v>
      </c>
      <c r="I61" s="130">
        <f t="shared" si="23"/>
        <v>0</v>
      </c>
      <c r="J61" s="130">
        <f t="shared" si="23"/>
        <v>3.0267983675003052E-9</v>
      </c>
      <c r="K61" s="130">
        <f t="shared" si="23"/>
        <v>1.862645149230957E-9</v>
      </c>
      <c r="L61" s="130">
        <f t="shared" si="23"/>
        <v>2.7939677238464355E-9</v>
      </c>
      <c r="M61" s="130">
        <f t="shared" si="23"/>
        <v>2.7939677238464355E-9</v>
      </c>
      <c r="N61" s="130">
        <f t="shared" si="23"/>
        <v>-2.7939677238464355E-9</v>
      </c>
      <c r="O61" s="130">
        <f t="shared" si="23"/>
        <v>0</v>
      </c>
      <c r="P61" s="130">
        <f t="shared" si="23"/>
        <v>0</v>
      </c>
      <c r="Q61" s="130">
        <f t="shared" si="23"/>
        <v>0</v>
      </c>
      <c r="R61" s="130">
        <f t="shared" si="23"/>
        <v>0</v>
      </c>
      <c r="S61" s="130">
        <f t="shared" si="23"/>
        <v>0</v>
      </c>
      <c r="T61" s="130">
        <f t="shared" si="23"/>
        <v>0</v>
      </c>
      <c r="U61" s="130">
        <f t="shared" si="23"/>
        <v>0</v>
      </c>
      <c r="V61" s="130">
        <f t="shared" si="23"/>
        <v>0</v>
      </c>
      <c r="W61" s="130">
        <f t="shared" si="23"/>
        <v>0</v>
      </c>
      <c r="X61" s="130">
        <f t="shared" si="23"/>
        <v>0</v>
      </c>
      <c r="Y61" s="130">
        <f t="shared" si="23"/>
        <v>0</v>
      </c>
      <c r="Z61" s="130">
        <f t="shared" si="23"/>
        <v>0</v>
      </c>
      <c r="AA61" s="130">
        <f t="shared" si="23"/>
        <v>0</v>
      </c>
      <c r="AB61" s="130">
        <f t="shared" si="23"/>
        <v>0</v>
      </c>
      <c r="AC61" s="130">
        <f t="shared" si="23"/>
        <v>0</v>
      </c>
      <c r="AD61" s="130">
        <f t="shared" si="23"/>
        <v>0</v>
      </c>
      <c r="AE61" s="130">
        <f t="shared" si="23"/>
        <v>0</v>
      </c>
      <c r="AF61" s="130">
        <f t="shared" si="23"/>
        <v>0</v>
      </c>
      <c r="AG61" s="130">
        <f t="shared" si="23"/>
        <v>0</v>
      </c>
      <c r="AH61" s="130">
        <f t="shared" si="23"/>
        <v>0</v>
      </c>
      <c r="AI61" s="130">
        <f t="shared" si="23"/>
        <v>0</v>
      </c>
      <c r="AJ61" s="130">
        <f t="shared" si="23"/>
        <v>0</v>
      </c>
      <c r="AK61" s="130">
        <f t="shared" si="23"/>
        <v>0</v>
      </c>
      <c r="AL61" s="130">
        <f t="shared" si="23"/>
        <v>0</v>
      </c>
      <c r="AM61" s="130">
        <f t="shared" si="23"/>
        <v>0</v>
      </c>
      <c r="AN61" s="130">
        <f t="shared" si="23"/>
        <v>0</v>
      </c>
      <c r="AO61" s="213">
        <f t="shared" ref="AO61" si="24">AO51-AO43-AO50</f>
        <v>0</v>
      </c>
      <c r="AP61" s="132"/>
      <c r="AQ61" s="132"/>
      <c r="AR61" s="132"/>
      <c r="AS61" s="132"/>
      <c r="AT61" s="130">
        <f>AT51-AT43-AT50</f>
        <v>0</v>
      </c>
      <c r="AU61" s="130">
        <f>AU51-AU43-AU50</f>
        <v>0</v>
      </c>
      <c r="AV61" s="130">
        <f>AV51-AV43-AV50</f>
        <v>0</v>
      </c>
      <c r="AW61" s="130">
        <f>AW51-AW43-AW50</f>
        <v>0</v>
      </c>
      <c r="AX61" s="125"/>
      <c r="AY61" s="130">
        <f t="shared" ref="AY61" si="25">AY51-AY43-AY50</f>
        <v>0</v>
      </c>
      <c r="AZ61" s="130">
        <f>AZ51-AZ43-AZ50</f>
        <v>0</v>
      </c>
    </row>
    <row r="62" spans="1:52" s="130" customFormat="1" x14ac:dyDescent="0.25">
      <c r="A62" s="129" t="s">
        <v>430</v>
      </c>
      <c r="B62" s="129"/>
      <c r="C62" s="129"/>
      <c r="D62" s="130">
        <f t="shared" ref="D62:AN62" si="26">D53-D13-D29-D33-D51</f>
        <v>0</v>
      </c>
      <c r="E62" s="130">
        <f t="shared" si="26"/>
        <v>0</v>
      </c>
      <c r="F62" s="130">
        <f t="shared" si="26"/>
        <v>0</v>
      </c>
      <c r="G62" s="130">
        <f t="shared" si="26"/>
        <v>2.9685907065868378E-9</v>
      </c>
      <c r="H62" s="130">
        <f t="shared" si="26"/>
        <v>0</v>
      </c>
      <c r="I62" s="130">
        <f t="shared" si="26"/>
        <v>3.7252902984619141E-9</v>
      </c>
      <c r="J62" s="130">
        <f t="shared" si="26"/>
        <v>0</v>
      </c>
      <c r="K62" s="130">
        <f t="shared" si="26"/>
        <v>0</v>
      </c>
      <c r="L62" s="130">
        <f t="shared" si="26"/>
        <v>0</v>
      </c>
      <c r="M62" s="130">
        <f t="shared" si="26"/>
        <v>0</v>
      </c>
      <c r="N62" s="130">
        <f t="shared" si="26"/>
        <v>0</v>
      </c>
      <c r="O62" s="130">
        <f t="shared" si="26"/>
        <v>0</v>
      </c>
      <c r="P62" s="130">
        <f t="shared" si="26"/>
        <v>0</v>
      </c>
      <c r="Q62" s="130">
        <f t="shared" si="26"/>
        <v>0</v>
      </c>
      <c r="R62" s="130">
        <f t="shared" si="26"/>
        <v>0</v>
      </c>
      <c r="S62" s="130">
        <f t="shared" si="26"/>
        <v>0</v>
      </c>
      <c r="T62" s="130">
        <f t="shared" si="26"/>
        <v>0</v>
      </c>
      <c r="U62" s="130">
        <f t="shared" si="26"/>
        <v>0</v>
      </c>
      <c r="V62" s="130">
        <f t="shared" si="26"/>
        <v>0</v>
      </c>
      <c r="W62" s="130">
        <f t="shared" si="26"/>
        <v>0</v>
      </c>
      <c r="X62" s="130">
        <f t="shared" si="26"/>
        <v>0</v>
      </c>
      <c r="Y62" s="130">
        <f t="shared" si="26"/>
        <v>0</v>
      </c>
      <c r="Z62" s="130">
        <f t="shared" si="26"/>
        <v>0</v>
      </c>
      <c r="AA62" s="130">
        <f t="shared" si="26"/>
        <v>0</v>
      </c>
      <c r="AB62" s="130">
        <f t="shared" si="26"/>
        <v>0</v>
      </c>
      <c r="AC62" s="130">
        <f t="shared" si="26"/>
        <v>0</v>
      </c>
      <c r="AD62" s="130">
        <f t="shared" si="26"/>
        <v>0</v>
      </c>
      <c r="AE62" s="130">
        <f t="shared" si="26"/>
        <v>0</v>
      </c>
      <c r="AF62" s="130">
        <f t="shared" si="26"/>
        <v>0</v>
      </c>
      <c r="AG62" s="130">
        <f t="shared" si="26"/>
        <v>0</v>
      </c>
      <c r="AH62" s="130">
        <f t="shared" si="26"/>
        <v>0</v>
      </c>
      <c r="AI62" s="130">
        <f t="shared" si="26"/>
        <v>0</v>
      </c>
      <c r="AJ62" s="130">
        <f t="shared" si="26"/>
        <v>0</v>
      </c>
      <c r="AK62" s="130">
        <f t="shared" si="26"/>
        <v>-1.6763806343078613E-8</v>
      </c>
      <c r="AL62" s="130">
        <f t="shared" si="26"/>
        <v>0</v>
      </c>
      <c r="AM62" s="130">
        <f t="shared" si="26"/>
        <v>0</v>
      </c>
      <c r="AN62" s="130">
        <f t="shared" si="26"/>
        <v>0</v>
      </c>
      <c r="AO62" s="213">
        <f t="shared" ref="AO62" si="27">AO53-AO13-AO29-AO33-AO51</f>
        <v>0</v>
      </c>
      <c r="AP62" s="132"/>
      <c r="AQ62" s="132"/>
      <c r="AR62" s="132"/>
      <c r="AS62" s="132"/>
      <c r="AT62" s="130">
        <f>AT53-AT13-AT29-AT33-AT51</f>
        <v>0</v>
      </c>
      <c r="AU62" s="130" t="s">
        <v>435</v>
      </c>
      <c r="AV62" s="130">
        <f>AV53-AV13-AV29-AV33-AV51</f>
        <v>1.4901161193847656E-8</v>
      </c>
      <c r="AW62" s="130">
        <f>AW53-AW13-AW29-AW33-AW51</f>
        <v>0</v>
      </c>
      <c r="AX62" s="132"/>
      <c r="AY62" s="130">
        <f t="shared" ref="AY62" si="28">AY53-AY13-AY29-AY33-AY51</f>
        <v>0</v>
      </c>
    </row>
    <row r="63" spans="1:52" s="130" customFormat="1" x14ac:dyDescent="0.25">
      <c r="A63" s="129"/>
      <c r="B63" s="129"/>
      <c r="C63" s="129"/>
      <c r="AO63" s="213"/>
      <c r="AP63" s="132"/>
      <c r="AQ63" s="132"/>
      <c r="AR63" s="132"/>
      <c r="AS63" s="132"/>
      <c r="AX63" s="132"/>
    </row>
    <row r="64" spans="1:52" s="130" customFormat="1" x14ac:dyDescent="0.25">
      <c r="A64" s="129" t="s">
        <v>55</v>
      </c>
      <c r="B64" s="129"/>
      <c r="C64" s="129"/>
      <c r="E64" s="130">
        <f t="shared" ref="E64:AN64" si="29">((E53-D53)/D53)*100</f>
        <v>192.00474209594768</v>
      </c>
      <c r="F64" s="130">
        <f t="shared" si="29"/>
        <v>7.8220300505573439</v>
      </c>
      <c r="G64" s="130">
        <f t="shared" si="29"/>
        <v>42.914260539343147</v>
      </c>
      <c r="H64" s="130">
        <f t="shared" si="29"/>
        <v>-9.5604831348044677</v>
      </c>
      <c r="I64" s="130">
        <f t="shared" si="29"/>
        <v>2.9516243495258472</v>
      </c>
      <c r="J64" s="130">
        <f t="shared" si="29"/>
        <v>17.40026938837126</v>
      </c>
      <c r="K64" s="130">
        <f t="shared" si="29"/>
        <v>-1.2288256156657658</v>
      </c>
      <c r="L64" s="130">
        <f t="shared" si="29"/>
        <v>8.0993837908173028</v>
      </c>
      <c r="M64" s="130">
        <f t="shared" si="29"/>
        <v>-4.1309924339196287E-2</v>
      </c>
      <c r="N64" s="130">
        <f t="shared" si="29"/>
        <v>1.0391762703501657</v>
      </c>
      <c r="O64" s="130">
        <f t="shared" si="29"/>
        <v>-2.4540334581474288</v>
      </c>
      <c r="P64" s="130">
        <f t="shared" si="29"/>
        <v>30.758137776908772</v>
      </c>
      <c r="Q64" s="130">
        <f t="shared" si="29"/>
        <v>52.969809266276805</v>
      </c>
      <c r="R64" s="130">
        <f t="shared" si="29"/>
        <v>27.852877872617338</v>
      </c>
      <c r="S64" s="130">
        <f t="shared" si="29"/>
        <v>11.761228831515629</v>
      </c>
      <c r="T64" s="130">
        <f t="shared" si="29"/>
        <v>-15.06902385353404</v>
      </c>
      <c r="U64" s="130">
        <f t="shared" si="29"/>
        <v>-16.730297166166398</v>
      </c>
      <c r="V64" s="130">
        <f t="shared" si="29"/>
        <v>-6.2167075700742283</v>
      </c>
      <c r="W64" s="130">
        <f t="shared" si="29"/>
        <v>13.548867160708253</v>
      </c>
      <c r="X64" s="130">
        <f t="shared" si="29"/>
        <v>12.311558589833222</v>
      </c>
      <c r="Y64" s="130">
        <f t="shared" si="29"/>
        <v>6.6313868168420669</v>
      </c>
      <c r="Z64" s="130">
        <f t="shared" si="29"/>
        <v>-6.4721648765216617</v>
      </c>
      <c r="AA64" s="130">
        <f t="shared" si="29"/>
        <v>3.0739713132343955</v>
      </c>
      <c r="AB64" s="130">
        <f t="shared" si="29"/>
        <v>1.7061868551080199</v>
      </c>
      <c r="AC64" s="134">
        <f t="shared" si="29"/>
        <v>-4.692533341316909</v>
      </c>
      <c r="AD64" s="130">
        <f t="shared" si="29"/>
        <v>-12.157924509205175</v>
      </c>
      <c r="AE64" s="130">
        <f t="shared" si="29"/>
        <v>-8.728535768713094</v>
      </c>
      <c r="AF64" s="130">
        <f t="shared" si="29"/>
        <v>-10.706203103028908</v>
      </c>
      <c r="AG64" s="130">
        <f t="shared" si="29"/>
        <v>13.003349925530532</v>
      </c>
      <c r="AH64" s="130">
        <f t="shared" si="29"/>
        <v>1.4505633274344489</v>
      </c>
      <c r="AI64" s="134">
        <f t="shared" si="29"/>
        <v>15.119742668211146</v>
      </c>
      <c r="AJ64" s="134">
        <f t="shared" si="29"/>
        <v>19.740230347317457</v>
      </c>
      <c r="AK64" s="134">
        <f t="shared" si="29"/>
        <v>15.544347398595448</v>
      </c>
      <c r="AL64" s="134">
        <f t="shared" si="29"/>
        <v>27.214453993949821</v>
      </c>
      <c r="AM64" s="130">
        <f t="shared" si="29"/>
        <v>-6.6617904828069801</v>
      </c>
      <c r="AN64" s="130">
        <f t="shared" si="29"/>
        <v>-4.5028992991194094</v>
      </c>
      <c r="AO64" s="213">
        <v>-9.6377275244229153E-3</v>
      </c>
      <c r="AP64" s="132"/>
      <c r="AQ64" s="132"/>
      <c r="AR64" s="132"/>
      <c r="AS64" s="132"/>
      <c r="AT64" s="134"/>
      <c r="AU64" s="130">
        <f>((AU53-AT53)/AT53)*100</f>
        <v>1.5383738140976702</v>
      </c>
      <c r="AV64" s="130">
        <f>((AV53-AU53)/AU53)*100</f>
        <v>8.3326418579549983</v>
      </c>
      <c r="AW64" s="130">
        <f>((AW53-AV53)/AV53)*100</f>
        <v>-8.3934744816160052</v>
      </c>
      <c r="AX64" s="136"/>
    </row>
    <row r="65" spans="1:51" x14ac:dyDescent="0.25">
      <c r="AK65" s="126"/>
      <c r="AL65" s="126"/>
      <c r="AX65" s="125"/>
    </row>
    <row r="66" spans="1:51" x14ac:dyDescent="0.25">
      <c r="A66" s="122" t="s">
        <v>56</v>
      </c>
      <c r="B66" s="122"/>
      <c r="AK66" s="126"/>
      <c r="AX66" s="125"/>
    </row>
    <row r="67" spans="1:51" x14ac:dyDescent="0.25">
      <c r="A67" s="123" t="s">
        <v>57</v>
      </c>
      <c r="E67" s="124">
        <v>16037835</v>
      </c>
      <c r="F67" s="124">
        <v>5590000</v>
      </c>
      <c r="G67" s="124">
        <v>21405000</v>
      </c>
      <c r="H67" s="124">
        <f>5712620+3711100+9338400+900980+3455400+3472800+3650500</f>
        <v>30241800</v>
      </c>
      <c r="I67" s="124">
        <f>4220000+2615000+7975000+2570000+3315000+3310000+1800000</f>
        <v>25805000</v>
      </c>
      <c r="J67" s="124">
        <v>26432000</v>
      </c>
      <c r="K67" s="124">
        <v>21647000</v>
      </c>
      <c r="L67" s="124">
        <v>13034000</v>
      </c>
      <c r="M67" s="124">
        <v>14315000</v>
      </c>
      <c r="N67" s="124">
        <v>15815000</v>
      </c>
      <c r="O67" s="124">
        <v>12520000</v>
      </c>
      <c r="P67" s="124">
        <v>14910000</v>
      </c>
      <c r="Q67" s="124">
        <v>9930000</v>
      </c>
      <c r="R67" s="124">
        <v>28392854</v>
      </c>
      <c r="S67" s="124">
        <v>90667627</v>
      </c>
      <c r="T67" s="124">
        <v>124709200</v>
      </c>
      <c r="U67" s="124">
        <v>155939000</v>
      </c>
      <c r="V67" s="124">
        <v>155703922</v>
      </c>
      <c r="W67" s="124">
        <v>127146000</v>
      </c>
      <c r="X67" s="124">
        <v>107837463</v>
      </c>
      <c r="Y67" s="124">
        <v>90859006</v>
      </c>
      <c r="Z67" s="124">
        <v>106100136</v>
      </c>
      <c r="AA67" s="124">
        <v>104935354</v>
      </c>
      <c r="AB67" s="124">
        <v>92589881</v>
      </c>
      <c r="AC67" s="124">
        <v>92731538</v>
      </c>
      <c r="AD67" s="124">
        <v>73951992</v>
      </c>
      <c r="AE67" s="124">
        <v>64789785</v>
      </c>
      <c r="AF67" s="124">
        <v>67207070</v>
      </c>
      <c r="AG67" s="124">
        <v>53442253</v>
      </c>
      <c r="AH67" s="124">
        <v>67655566</v>
      </c>
      <c r="AI67" s="124">
        <v>52736052</v>
      </c>
      <c r="AJ67" s="124">
        <v>24409607</v>
      </c>
      <c r="AK67" s="126">
        <v>49678332</v>
      </c>
      <c r="AL67" s="124">
        <v>83253145</v>
      </c>
      <c r="AN67" s="124">
        <v>91838000</v>
      </c>
      <c r="AX67" s="125"/>
    </row>
    <row r="68" spans="1:51" x14ac:dyDescent="0.25">
      <c r="A68" s="123" t="s">
        <v>60</v>
      </c>
      <c r="E68" s="124">
        <v>0</v>
      </c>
      <c r="F68" s="124">
        <v>0</v>
      </c>
      <c r="G68" s="124">
        <v>0</v>
      </c>
      <c r="H68" s="124">
        <v>0</v>
      </c>
      <c r="I68" s="124">
        <v>0</v>
      </c>
      <c r="J68" s="124">
        <v>0</v>
      </c>
      <c r="K68" s="124">
        <v>0</v>
      </c>
      <c r="L68" s="124">
        <v>0</v>
      </c>
      <c r="M68" s="124">
        <v>0</v>
      </c>
      <c r="N68" s="124">
        <v>0</v>
      </c>
      <c r="O68" s="124">
        <v>0</v>
      </c>
      <c r="AG68" s="124">
        <v>2814670</v>
      </c>
      <c r="AH68" s="124">
        <v>8546450</v>
      </c>
      <c r="AI68" s="124">
        <v>7996450</v>
      </c>
      <c r="AJ68" s="124">
        <v>7180000</v>
      </c>
      <c r="AK68" s="124">
        <v>6979890</v>
      </c>
      <c r="AL68" s="124">
        <v>6630000</v>
      </c>
      <c r="AN68" s="124">
        <v>6480000</v>
      </c>
      <c r="AX68" s="125"/>
    </row>
    <row r="69" spans="1:51" x14ac:dyDescent="0.25">
      <c r="A69" s="123" t="s">
        <v>58</v>
      </c>
      <c r="E69" s="124">
        <v>12757018</v>
      </c>
      <c r="F69" s="124">
        <v>15767633</v>
      </c>
      <c r="G69" s="124">
        <v>8234641.5499999998</v>
      </c>
      <c r="H69" s="124">
        <v>12467662.76</v>
      </c>
      <c r="I69" s="124">
        <v>27956085.280000001</v>
      </c>
      <c r="J69" s="124">
        <v>30718298.059999999</v>
      </c>
      <c r="K69" s="124">
        <v>32756376.879999999</v>
      </c>
      <c r="L69" s="124">
        <v>32385621.719999999</v>
      </c>
      <c r="M69" s="124">
        <v>34071670.850000001</v>
      </c>
      <c r="N69" s="124">
        <v>35587637.939999998</v>
      </c>
      <c r="O69" s="124">
        <v>36218910.310000002</v>
      </c>
      <c r="P69" s="124">
        <v>18818151.530000001</v>
      </c>
      <c r="Q69" s="124">
        <v>13554516.630000001</v>
      </c>
      <c r="R69" s="124">
        <v>12288112.48</v>
      </c>
      <c r="S69" s="124">
        <v>15025415.550000001</v>
      </c>
      <c r="T69" s="124">
        <v>14361937</v>
      </c>
      <c r="U69" s="124">
        <v>17873851.059999999</v>
      </c>
      <c r="V69" s="124">
        <v>19933960.420000002</v>
      </c>
      <c r="W69" s="124">
        <v>20131180.359999999</v>
      </c>
      <c r="X69" s="124">
        <v>19899154.420000002</v>
      </c>
      <c r="Y69" s="124">
        <v>18831067.329999998</v>
      </c>
      <c r="Z69" s="124">
        <v>18760284.629999999</v>
      </c>
      <c r="AA69" s="124">
        <v>18842722.23</v>
      </c>
      <c r="AB69" s="124">
        <v>18482244.530000001</v>
      </c>
      <c r="AC69" s="124">
        <v>18378327.91</v>
      </c>
      <c r="AD69" s="124">
        <v>19805214.77</v>
      </c>
      <c r="AE69" s="124">
        <v>21410349.010000002</v>
      </c>
      <c r="AF69" s="124">
        <v>22771319.25</v>
      </c>
      <c r="AG69" s="124">
        <v>22590531.690000001</v>
      </c>
      <c r="AH69" s="124">
        <v>22452457.579999998</v>
      </c>
      <c r="AI69" s="124">
        <v>21894344.300000001</v>
      </c>
      <c r="AJ69" s="124">
        <v>21152854.100000001</v>
      </c>
      <c r="AK69" s="124">
        <v>19019613.829999998</v>
      </c>
      <c r="AL69" s="124">
        <v>18843319.57</v>
      </c>
      <c r="AN69" s="124">
        <v>18921309.539999999</v>
      </c>
      <c r="AX69" s="125"/>
    </row>
    <row r="70" spans="1:51" x14ac:dyDescent="0.25">
      <c r="A70" s="123" t="s">
        <v>59</v>
      </c>
      <c r="E70" s="124">
        <f>SUM(E67:E69)</f>
        <v>28794853</v>
      </c>
      <c r="F70" s="124">
        <f t="shared" ref="F70:AN70" si="30">SUM(F67:F69)</f>
        <v>21357633</v>
      </c>
      <c r="G70" s="124">
        <f t="shared" si="30"/>
        <v>29639641.550000001</v>
      </c>
      <c r="H70" s="124">
        <f t="shared" si="30"/>
        <v>42709462.759999998</v>
      </c>
      <c r="I70" s="124">
        <f t="shared" si="30"/>
        <v>53761085.280000001</v>
      </c>
      <c r="J70" s="124">
        <f t="shared" si="30"/>
        <v>57150298.060000002</v>
      </c>
      <c r="K70" s="124">
        <f t="shared" si="30"/>
        <v>54403376.879999995</v>
      </c>
      <c r="L70" s="124">
        <f t="shared" si="30"/>
        <v>45419621.719999999</v>
      </c>
      <c r="M70" s="124">
        <f t="shared" si="30"/>
        <v>48386670.850000001</v>
      </c>
      <c r="N70" s="124">
        <f t="shared" si="30"/>
        <v>51402637.939999998</v>
      </c>
      <c r="O70" s="124">
        <f t="shared" si="30"/>
        <v>48738910.310000002</v>
      </c>
      <c r="P70" s="124">
        <f t="shared" si="30"/>
        <v>33728151.530000001</v>
      </c>
      <c r="Q70" s="124">
        <f t="shared" si="30"/>
        <v>23484516.630000003</v>
      </c>
      <c r="R70" s="124">
        <f t="shared" si="30"/>
        <v>40680966.480000004</v>
      </c>
      <c r="S70" s="124">
        <f t="shared" si="30"/>
        <v>105693042.55</v>
      </c>
      <c r="T70" s="124">
        <f t="shared" si="30"/>
        <v>139071137</v>
      </c>
      <c r="U70" s="124">
        <f t="shared" si="30"/>
        <v>173812851.06</v>
      </c>
      <c r="V70" s="124">
        <f t="shared" si="30"/>
        <v>175637882.42000002</v>
      </c>
      <c r="W70" s="124">
        <f t="shared" si="30"/>
        <v>147277180.36000001</v>
      </c>
      <c r="X70" s="124">
        <f t="shared" si="30"/>
        <v>127736617.42</v>
      </c>
      <c r="Y70" s="124">
        <f t="shared" si="30"/>
        <v>109690073.33</v>
      </c>
      <c r="Z70" s="124">
        <f t="shared" si="30"/>
        <v>124860420.63</v>
      </c>
      <c r="AA70" s="124">
        <f t="shared" si="30"/>
        <v>123778076.23</v>
      </c>
      <c r="AB70" s="124">
        <f t="shared" si="30"/>
        <v>111072125.53</v>
      </c>
      <c r="AC70" s="124">
        <f t="shared" si="30"/>
        <v>111109865.91</v>
      </c>
      <c r="AD70" s="124">
        <f t="shared" si="30"/>
        <v>93757206.769999996</v>
      </c>
      <c r="AE70" s="124">
        <f t="shared" si="30"/>
        <v>86200134.010000005</v>
      </c>
      <c r="AF70" s="124">
        <f t="shared" si="30"/>
        <v>89978389.25</v>
      </c>
      <c r="AG70" s="124">
        <f t="shared" si="30"/>
        <v>78847454.689999998</v>
      </c>
      <c r="AH70" s="124">
        <f t="shared" si="30"/>
        <v>98654473.579999998</v>
      </c>
      <c r="AI70" s="124">
        <f t="shared" si="30"/>
        <v>82626846.299999997</v>
      </c>
      <c r="AJ70" s="124">
        <f t="shared" si="30"/>
        <v>52742461.100000001</v>
      </c>
      <c r="AK70" s="124">
        <f t="shared" si="30"/>
        <v>75677835.829999998</v>
      </c>
      <c r="AL70" s="124">
        <f t="shared" si="30"/>
        <v>108726464.56999999</v>
      </c>
      <c r="AN70" s="124">
        <f t="shared" si="30"/>
        <v>117239309.53999999</v>
      </c>
      <c r="AX70" s="125"/>
    </row>
    <row r="71" spans="1:51" x14ac:dyDescent="0.25">
      <c r="AX71" s="125"/>
    </row>
    <row r="72" spans="1:51" s="138" customFormat="1" x14ac:dyDescent="0.25">
      <c r="A72" s="137" t="s">
        <v>527</v>
      </c>
      <c r="B72" s="137"/>
      <c r="C72" s="108"/>
      <c r="D72" s="138" t="s">
        <v>377</v>
      </c>
      <c r="E72" s="138" t="s">
        <v>376</v>
      </c>
      <c r="F72" s="138" t="s">
        <v>374</v>
      </c>
      <c r="G72" s="138" t="s">
        <v>375</v>
      </c>
      <c r="H72" s="138" t="s">
        <v>374</v>
      </c>
      <c r="I72" s="138" t="s">
        <v>374</v>
      </c>
      <c r="S72" s="138" t="s">
        <v>402</v>
      </c>
      <c r="T72" s="138" t="s">
        <v>436</v>
      </c>
      <c r="AB72" s="138" t="s">
        <v>437</v>
      </c>
      <c r="AF72" s="138" t="s">
        <v>447</v>
      </c>
      <c r="AT72" s="139" t="s">
        <v>404</v>
      </c>
      <c r="AU72" s="139" t="s">
        <v>404</v>
      </c>
      <c r="AV72" s="139" t="s">
        <v>404</v>
      </c>
      <c r="AX72" s="140"/>
      <c r="AY72" s="139"/>
    </row>
    <row r="73" spans="1:51" x14ac:dyDescent="0.25">
      <c r="AX73" s="125"/>
    </row>
    <row r="74" spans="1:51" s="138" customFormat="1" x14ac:dyDescent="0.25">
      <c r="A74" s="137" t="s">
        <v>239</v>
      </c>
      <c r="B74" s="137"/>
      <c r="C74" s="108"/>
      <c r="AM74" s="124"/>
      <c r="AT74" s="139"/>
      <c r="AU74" s="139"/>
      <c r="AV74" s="139"/>
      <c r="AX74" s="140"/>
      <c r="AY74" s="139"/>
    </row>
    <row r="75" spans="1:51" s="138" customFormat="1" x14ac:dyDescent="0.25">
      <c r="A75" s="123" t="s">
        <v>260</v>
      </c>
      <c r="B75" s="123"/>
      <c r="C75" s="108"/>
      <c r="AM75" s="124"/>
      <c r="AT75" s="139"/>
      <c r="AU75" s="139"/>
      <c r="AV75" s="139"/>
      <c r="AX75" s="140"/>
      <c r="AY75" s="139"/>
    </row>
    <row r="76" spans="1:51" s="138" customFormat="1" x14ac:dyDescent="0.25">
      <c r="A76" s="123" t="s">
        <v>261</v>
      </c>
      <c r="B76" s="123"/>
      <c r="C76" s="108"/>
      <c r="AM76" s="124"/>
      <c r="AT76" s="139"/>
      <c r="AU76" s="139"/>
      <c r="AV76" s="139"/>
      <c r="AX76" s="140"/>
      <c r="AY76" s="139"/>
    </row>
    <row r="77" spans="1:51" x14ac:dyDescent="0.25">
      <c r="A77" s="123" t="s">
        <v>253</v>
      </c>
      <c r="L77" s="124">
        <v>2000000</v>
      </c>
      <c r="P77" s="124">
        <v>24500000</v>
      </c>
      <c r="Q77" s="124">
        <v>56800000</v>
      </c>
      <c r="AX77" s="125"/>
    </row>
    <row r="78" spans="1:51" s="211" customFormat="1" x14ac:dyDescent="0.25">
      <c r="A78" s="123" t="s">
        <v>718</v>
      </c>
      <c r="B78" s="123"/>
      <c r="C78" s="123"/>
      <c r="W78" s="211">
        <v>266805</v>
      </c>
      <c r="X78" s="211">
        <v>0</v>
      </c>
      <c r="Y78" s="211">
        <v>0</v>
      </c>
      <c r="Z78" s="211">
        <v>0</v>
      </c>
      <c r="AA78" s="211">
        <v>0</v>
      </c>
      <c r="AB78" s="211">
        <v>0</v>
      </c>
      <c r="AC78" s="211">
        <v>0</v>
      </c>
      <c r="AD78" s="211">
        <v>0</v>
      </c>
      <c r="AE78" s="211">
        <v>0</v>
      </c>
      <c r="AF78" s="211">
        <v>0</v>
      </c>
      <c r="AG78" s="211">
        <v>0</v>
      </c>
      <c r="AH78" s="211">
        <v>0</v>
      </c>
      <c r="AI78" s="211">
        <v>0</v>
      </c>
      <c r="AJ78" s="211">
        <v>0</v>
      </c>
      <c r="AK78" s="211">
        <v>0</v>
      </c>
      <c r="AL78" s="211">
        <v>0</v>
      </c>
      <c r="AM78" s="211">
        <v>0</v>
      </c>
      <c r="AN78" s="211">
        <v>0</v>
      </c>
      <c r="AT78" s="126"/>
      <c r="AU78" s="126"/>
      <c r="AV78" s="126"/>
      <c r="AX78" s="125"/>
      <c r="AY78" s="126"/>
    </row>
    <row r="79" spans="1:51" s="211" customFormat="1" x14ac:dyDescent="0.25">
      <c r="A79" s="123" t="s">
        <v>717</v>
      </c>
      <c r="B79" s="123"/>
      <c r="C79" s="123"/>
      <c r="W79" s="211">
        <f>W7-W78</f>
        <v>61817983</v>
      </c>
      <c r="X79" s="211">
        <f t="shared" ref="X79:AN79" si="31">X7-X78</f>
        <v>76442325</v>
      </c>
      <c r="Y79" s="211">
        <f t="shared" si="31"/>
        <v>94595383</v>
      </c>
      <c r="Z79" s="211">
        <f t="shared" si="31"/>
        <v>84788252</v>
      </c>
      <c r="AA79" s="211">
        <f t="shared" si="31"/>
        <v>86669532</v>
      </c>
      <c r="AB79" s="211">
        <f t="shared" si="31"/>
        <v>91975007</v>
      </c>
      <c r="AC79" s="211">
        <f t="shared" si="31"/>
        <v>104475850</v>
      </c>
      <c r="AD79" s="211">
        <f t="shared" si="31"/>
        <v>97922396</v>
      </c>
      <c r="AE79" s="211">
        <f t="shared" si="31"/>
        <v>89134103</v>
      </c>
      <c r="AF79" s="211">
        <f t="shared" si="31"/>
        <v>82295818</v>
      </c>
      <c r="AG79" s="211">
        <f t="shared" si="31"/>
        <v>89036354</v>
      </c>
      <c r="AH79" s="211">
        <f t="shared" si="31"/>
        <v>91223041</v>
      </c>
      <c r="AI79" s="211">
        <f t="shared" si="31"/>
        <v>106369706</v>
      </c>
      <c r="AJ79" s="211">
        <f t="shared" si="31"/>
        <v>132155000</v>
      </c>
      <c r="AK79" s="211">
        <f t="shared" si="31"/>
        <v>145333275</v>
      </c>
      <c r="AL79" s="211">
        <f t="shared" si="31"/>
        <v>174763462</v>
      </c>
      <c r="AM79" s="211">
        <f t="shared" si="31"/>
        <v>0</v>
      </c>
      <c r="AN79" s="211">
        <f t="shared" si="31"/>
        <v>158892607</v>
      </c>
      <c r="AU79" s="126"/>
      <c r="AV79" s="126"/>
      <c r="AX79" s="125"/>
      <c r="AY79" s="126"/>
    </row>
    <row r="80" spans="1:51" x14ac:dyDescent="0.25">
      <c r="A80" s="123" t="s">
        <v>252</v>
      </c>
      <c r="AP80" s="211"/>
      <c r="AQ80" s="211"/>
      <c r="AR80" s="211"/>
      <c r="AS80" s="211"/>
      <c r="AT80" s="211"/>
      <c r="AU80" s="211"/>
      <c r="AV80" s="211"/>
      <c r="AW80" s="211"/>
      <c r="AX80" s="125"/>
    </row>
    <row r="81" spans="1:52" s="211" customFormat="1" x14ac:dyDescent="0.25">
      <c r="A81" s="123" t="s">
        <v>721</v>
      </c>
      <c r="B81" s="123"/>
      <c r="C81" s="123"/>
      <c r="W81" s="211">
        <v>20131180.359999999</v>
      </c>
      <c r="X81" s="211">
        <v>19454278.010000002</v>
      </c>
      <c r="Y81" s="211">
        <v>18217599.559999999</v>
      </c>
      <c r="Z81" s="211">
        <v>18486582.039999999</v>
      </c>
      <c r="AA81" s="211">
        <v>18322628.370000001</v>
      </c>
      <c r="AB81" s="211">
        <v>18291239.449999999</v>
      </c>
      <c r="AC81" s="211">
        <v>18303858.329999998</v>
      </c>
      <c r="AD81" s="211">
        <v>19445142.600000001</v>
      </c>
      <c r="AE81" s="211">
        <v>20838422.91</v>
      </c>
      <c r="AF81" s="211">
        <v>21499605.550000001</v>
      </c>
      <c r="AG81" s="211">
        <v>21805437.16</v>
      </c>
      <c r="AH81" s="211">
        <v>21847081.41</v>
      </c>
      <c r="AI81" s="126">
        <v>18770541.649999999</v>
      </c>
      <c r="AJ81" s="126">
        <v>19832398.949999999</v>
      </c>
      <c r="AK81" s="126">
        <v>22202645.920000002</v>
      </c>
      <c r="AL81" s="126">
        <v>22562309.57</v>
      </c>
      <c r="AM81" s="126">
        <v>22990914.629999995</v>
      </c>
      <c r="AN81" s="126">
        <v>22765947.91</v>
      </c>
      <c r="AX81" s="125"/>
      <c r="AY81" s="126"/>
    </row>
    <row r="82" spans="1:52" s="211" customFormat="1" x14ac:dyDescent="0.25">
      <c r="A82" s="123" t="s">
        <v>720</v>
      </c>
      <c r="B82" s="123"/>
      <c r="C82" s="123"/>
      <c r="W82" s="211">
        <f>W21-W81</f>
        <v>19590313.549999997</v>
      </c>
      <c r="X82" s="211">
        <f t="shared" ref="X82:AN82" si="32">X21-X81</f>
        <v>20267215.899999995</v>
      </c>
      <c r="Y82" s="211">
        <f t="shared" si="32"/>
        <v>21647144.349999998</v>
      </c>
      <c r="Z82" s="211">
        <f t="shared" si="32"/>
        <v>21524374.610000007</v>
      </c>
      <c r="AA82" s="211">
        <f t="shared" si="32"/>
        <v>21831028.279999997</v>
      </c>
      <c r="AB82" s="211">
        <f t="shared" si="32"/>
        <v>21964285.620000001</v>
      </c>
      <c r="AC82" s="211">
        <f t="shared" si="32"/>
        <v>21755119.140000001</v>
      </c>
      <c r="AD82" s="211">
        <f t="shared" si="32"/>
        <v>20878551.479999997</v>
      </c>
      <c r="AE82" s="211">
        <f t="shared" si="32"/>
        <v>19612365.27</v>
      </c>
      <c r="AF82" s="211">
        <f t="shared" si="32"/>
        <v>19226908.73</v>
      </c>
      <c r="AG82" s="211">
        <f t="shared" si="32"/>
        <v>18915077.120000001</v>
      </c>
      <c r="AH82" s="211">
        <f t="shared" si="32"/>
        <v>19054486.239999998</v>
      </c>
      <c r="AI82" s="126">
        <f t="shared" si="32"/>
        <v>21994344.300000004</v>
      </c>
      <c r="AJ82" s="126">
        <f t="shared" si="32"/>
        <v>21252854.099999998</v>
      </c>
      <c r="AK82" s="126">
        <f t="shared" si="32"/>
        <v>19121613.829999998</v>
      </c>
      <c r="AL82" s="126">
        <f t="shared" si="32"/>
        <v>18947359.57</v>
      </c>
      <c r="AM82" s="126">
        <f t="shared" si="32"/>
        <v>18986354.555000007</v>
      </c>
      <c r="AN82" s="126">
        <f t="shared" si="32"/>
        <v>19025349.540000003</v>
      </c>
      <c r="AX82" s="125"/>
      <c r="AY82" s="126"/>
    </row>
    <row r="83" spans="1:52" x14ac:dyDescent="0.25">
      <c r="A83" s="123" t="s">
        <v>256</v>
      </c>
      <c r="D83" s="212" t="str">
        <f>IF(ISNUMBER(D17+D23),D17+D23,"not available")</f>
        <v>not available</v>
      </c>
      <c r="E83" s="212">
        <f t="shared" ref="E83:F83" si="33">IF(ISNUMBER(E17+E23),E17+E23,"not available")</f>
        <v>12469982</v>
      </c>
      <c r="F83" s="212">
        <f t="shared" si="33"/>
        <v>11167002</v>
      </c>
      <c r="G83" s="124">
        <v>16313198</v>
      </c>
      <c r="H83" s="124">
        <v>13866215</v>
      </c>
      <c r="I83" s="124">
        <v>12806817</v>
      </c>
      <c r="J83" s="124">
        <v>14501162</v>
      </c>
      <c r="K83" s="124">
        <v>12753580</v>
      </c>
      <c r="L83" s="124">
        <v>13178751</v>
      </c>
      <c r="M83" s="124">
        <v>11594609</v>
      </c>
      <c r="N83" s="124">
        <v>10025975</v>
      </c>
      <c r="O83" s="124">
        <v>9666064</v>
      </c>
      <c r="P83" s="124">
        <v>11364874</v>
      </c>
      <c r="Q83" s="124">
        <v>13627154</v>
      </c>
      <c r="R83" s="124">
        <v>13084475</v>
      </c>
      <c r="S83" s="124">
        <v>11134439</v>
      </c>
      <c r="T83" s="124">
        <v>10144113</v>
      </c>
      <c r="U83" s="124">
        <v>8701942</v>
      </c>
      <c r="V83" s="212">
        <f t="shared" ref="G83:AN85" si="34">IF(ISNUMBER(V17+V23),V17+V23,"not available")</f>
        <v>7653104</v>
      </c>
      <c r="W83" s="212">
        <f t="shared" ref="W83:AN83" si="35">IF(ISNUMBER(W17+W23),W17+W23,"not available")</f>
        <v>7250092</v>
      </c>
      <c r="X83" s="212">
        <f t="shared" si="35"/>
        <v>7012281</v>
      </c>
      <c r="Y83" s="212">
        <f t="shared" si="35"/>
        <v>6845290</v>
      </c>
      <c r="Z83" s="212">
        <f t="shared" si="35"/>
        <v>6606448</v>
      </c>
      <c r="AA83" s="212">
        <f t="shared" si="35"/>
        <v>6318908</v>
      </c>
      <c r="AB83" s="212">
        <f t="shared" si="35"/>
        <v>6139733</v>
      </c>
      <c r="AC83" s="212">
        <f t="shared" si="35"/>
        <v>5862873</v>
      </c>
      <c r="AD83" s="212">
        <f t="shared" si="35"/>
        <v>5521434</v>
      </c>
      <c r="AE83" s="212">
        <f t="shared" si="35"/>
        <v>5215010</v>
      </c>
      <c r="AF83" s="212">
        <f t="shared" si="35"/>
        <v>4980634</v>
      </c>
      <c r="AG83" s="212">
        <f t="shared" si="35"/>
        <v>4692095</v>
      </c>
      <c r="AH83" s="212">
        <f t="shared" si="35"/>
        <v>4467741</v>
      </c>
      <c r="AI83" s="212">
        <f t="shared" si="35"/>
        <v>4431484</v>
      </c>
      <c r="AJ83" s="212">
        <f t="shared" si="35"/>
        <v>4341434</v>
      </c>
      <c r="AK83" s="212">
        <f t="shared" si="35"/>
        <v>4335189</v>
      </c>
      <c r="AL83" s="212">
        <f t="shared" si="35"/>
        <v>4238691</v>
      </c>
      <c r="AM83" s="212">
        <f t="shared" si="35"/>
        <v>4243774.5</v>
      </c>
      <c r="AN83" s="212">
        <f t="shared" si="35"/>
        <v>4248858</v>
      </c>
      <c r="AO83" s="212" t="s">
        <v>661</v>
      </c>
      <c r="AP83" s="212" t="s">
        <v>661</v>
      </c>
      <c r="AQ83" s="212" t="s">
        <v>661</v>
      </c>
      <c r="AR83" s="212" t="s">
        <v>661</v>
      </c>
      <c r="AS83" s="212" t="s">
        <v>661</v>
      </c>
      <c r="AT83" s="212" t="s">
        <v>661</v>
      </c>
      <c r="AU83" s="212" t="s">
        <v>661</v>
      </c>
      <c r="AV83" s="212" t="s">
        <v>661</v>
      </c>
      <c r="AW83" s="212" t="s">
        <v>661</v>
      </c>
      <c r="AX83" s="125"/>
      <c r="AY83" s="212">
        <f t="shared" ref="AY83" si="36">IF(ISNUMBER(AY17+AY23),AY17+AY23,"not available")</f>
        <v>4177110</v>
      </c>
      <c r="AZ83" s="212" t="s">
        <v>661</v>
      </c>
    </row>
    <row r="84" spans="1:52" x14ac:dyDescent="0.25">
      <c r="A84" s="123" t="s">
        <v>257</v>
      </c>
      <c r="D84" s="212" t="str">
        <f t="shared" ref="D84:F86" si="37">IF(ISNUMBER(D18+D24),D18+D24,"not available")</f>
        <v>not available</v>
      </c>
      <c r="E84" s="212">
        <f t="shared" si="37"/>
        <v>2701999.5</v>
      </c>
      <c r="F84" s="212">
        <f t="shared" si="37"/>
        <v>2712677</v>
      </c>
      <c r="G84" s="124">
        <v>3066140</v>
      </c>
      <c r="H84" s="124">
        <v>2502009</v>
      </c>
      <c r="I84" s="124">
        <v>2356252.5</v>
      </c>
      <c r="J84" s="124">
        <v>2571583</v>
      </c>
      <c r="K84" s="124">
        <v>2387959</v>
      </c>
      <c r="L84" s="124">
        <v>2424730.5</v>
      </c>
      <c r="M84" s="124">
        <v>2397120</v>
      </c>
      <c r="N84" s="124">
        <v>2431012</v>
      </c>
      <c r="O84" s="124">
        <v>2368708</v>
      </c>
      <c r="P84" s="124">
        <v>2863170.5</v>
      </c>
      <c r="Q84" s="124">
        <v>3010363.5</v>
      </c>
      <c r="R84" s="124">
        <v>4256323.5</v>
      </c>
      <c r="S84" s="124">
        <v>4281887</v>
      </c>
      <c r="T84" s="124">
        <v>4845397</v>
      </c>
      <c r="U84" s="124">
        <v>4137954.5</v>
      </c>
      <c r="V84" s="212">
        <f t="shared" si="34"/>
        <v>3588812.5</v>
      </c>
      <c r="W84" s="212">
        <f t="shared" ref="W84:AN84" si="38">IF(ISNUMBER(W18+W24),W18+W24,"not available")</f>
        <v>3591450.5</v>
      </c>
      <c r="X84" s="212">
        <f t="shared" si="38"/>
        <v>3608609.5</v>
      </c>
      <c r="Y84" s="212">
        <f t="shared" si="38"/>
        <v>3966706</v>
      </c>
      <c r="Z84" s="212">
        <f t="shared" si="38"/>
        <v>3979195</v>
      </c>
      <c r="AA84" s="212">
        <f t="shared" si="38"/>
        <v>3939219</v>
      </c>
      <c r="AB84" s="212">
        <f t="shared" si="38"/>
        <v>4086214.5</v>
      </c>
      <c r="AC84" s="212">
        <f t="shared" si="38"/>
        <v>4005702.5</v>
      </c>
      <c r="AD84" s="212">
        <f t="shared" si="38"/>
        <v>3594176.5</v>
      </c>
      <c r="AE84" s="212">
        <f t="shared" si="38"/>
        <v>3113436</v>
      </c>
      <c r="AF84" s="212">
        <f t="shared" si="38"/>
        <v>2742909.5</v>
      </c>
      <c r="AG84" s="212">
        <f t="shared" si="38"/>
        <v>2907553.5</v>
      </c>
      <c r="AH84" s="212">
        <f t="shared" si="38"/>
        <v>2947095.5</v>
      </c>
      <c r="AI84" s="212">
        <f t="shared" si="38"/>
        <v>3079738</v>
      </c>
      <c r="AJ84" s="212">
        <f t="shared" si="38"/>
        <v>3373665</v>
      </c>
      <c r="AK84" s="212">
        <f t="shared" si="38"/>
        <v>4009831.5</v>
      </c>
      <c r="AL84" s="212">
        <f t="shared" si="38"/>
        <v>3989221</v>
      </c>
      <c r="AM84" s="212">
        <f t="shared" si="38"/>
        <v>3992126.5</v>
      </c>
      <c r="AN84" s="212">
        <f t="shared" si="38"/>
        <v>3995032</v>
      </c>
      <c r="AO84" s="212" t="s">
        <v>661</v>
      </c>
      <c r="AP84" s="212" t="s">
        <v>661</v>
      </c>
      <c r="AQ84" s="212" t="s">
        <v>661</v>
      </c>
      <c r="AR84" s="212" t="s">
        <v>661</v>
      </c>
      <c r="AS84" s="212" t="s">
        <v>661</v>
      </c>
      <c r="AT84" s="212" t="s">
        <v>661</v>
      </c>
      <c r="AU84" s="212" t="s">
        <v>661</v>
      </c>
      <c r="AV84" s="212" t="s">
        <v>661</v>
      </c>
      <c r="AW84" s="212" t="s">
        <v>661</v>
      </c>
      <c r="AX84" s="125"/>
      <c r="AY84" s="212">
        <f t="shared" ref="AY84" si="39">IF(ISNUMBER(AY18+AY24),AY18+AY24,"not available")</f>
        <v>4523720</v>
      </c>
      <c r="AZ84" s="212" t="s">
        <v>661</v>
      </c>
    </row>
    <row r="85" spans="1:52" s="211" customFormat="1" x14ac:dyDescent="0.25">
      <c r="A85" s="123" t="s">
        <v>658</v>
      </c>
      <c r="B85" s="123"/>
      <c r="C85" s="123"/>
      <c r="D85" s="212" t="str">
        <f t="shared" si="37"/>
        <v>not available</v>
      </c>
      <c r="E85" s="212" t="str">
        <f t="shared" si="37"/>
        <v>not available</v>
      </c>
      <c r="F85" s="212" t="str">
        <f t="shared" si="37"/>
        <v>not available</v>
      </c>
      <c r="G85" s="212" t="str">
        <f t="shared" si="34"/>
        <v>not available</v>
      </c>
      <c r="H85" s="212" t="str">
        <f t="shared" si="34"/>
        <v>not available</v>
      </c>
      <c r="I85" s="212" t="str">
        <f t="shared" si="34"/>
        <v>not available</v>
      </c>
      <c r="J85" s="212" t="str">
        <f t="shared" si="34"/>
        <v>not available</v>
      </c>
      <c r="K85" s="212" t="str">
        <f t="shared" si="34"/>
        <v>not available</v>
      </c>
      <c r="L85" s="212" t="str">
        <f t="shared" si="34"/>
        <v>not available</v>
      </c>
      <c r="M85" s="212" t="str">
        <f t="shared" si="34"/>
        <v>not available</v>
      </c>
      <c r="N85" s="212" t="str">
        <f t="shared" si="34"/>
        <v>not available</v>
      </c>
      <c r="O85" s="212" t="str">
        <f t="shared" si="34"/>
        <v>not available</v>
      </c>
      <c r="P85" s="212" t="str">
        <f t="shared" si="34"/>
        <v>not available</v>
      </c>
      <c r="Q85" s="212" t="str">
        <f t="shared" si="34"/>
        <v>not available</v>
      </c>
      <c r="R85" s="212" t="str">
        <f t="shared" si="34"/>
        <v>not available</v>
      </c>
      <c r="S85" s="212" t="str">
        <f t="shared" si="34"/>
        <v>not available</v>
      </c>
      <c r="T85" s="212" t="str">
        <f t="shared" si="34"/>
        <v>not available</v>
      </c>
      <c r="U85" s="212">
        <f t="shared" si="34"/>
        <v>7083178.0999999996</v>
      </c>
      <c r="V85" s="212">
        <f t="shared" si="34"/>
        <v>6645134.8999999994</v>
      </c>
      <c r="W85" s="212">
        <f t="shared" si="34"/>
        <v>6800261.9999999991</v>
      </c>
      <c r="X85" s="212">
        <f t="shared" si="34"/>
        <v>7155618.2999999989</v>
      </c>
      <c r="Y85" s="212">
        <f t="shared" si="34"/>
        <v>8008914.1999999993</v>
      </c>
      <c r="Z85" s="212">
        <f t="shared" si="34"/>
        <v>8320375.3999999994</v>
      </c>
      <c r="AA85" s="212">
        <f t="shared" si="34"/>
        <v>8561445.7999999989</v>
      </c>
      <c r="AB85" s="212">
        <f t="shared" si="34"/>
        <v>8930747.5999999996</v>
      </c>
      <c r="AC85" s="212">
        <f t="shared" si="34"/>
        <v>9094634.4000000004</v>
      </c>
      <c r="AD85" s="212">
        <f t="shared" si="34"/>
        <v>8657872.0999999996</v>
      </c>
      <c r="AE85" s="212">
        <f t="shared" si="34"/>
        <v>7935637</v>
      </c>
      <c r="AF85" s="212">
        <f t="shared" si="34"/>
        <v>7485754.9000000004</v>
      </c>
      <c r="AG85" s="212">
        <f t="shared" si="34"/>
        <v>7693712.7000000002</v>
      </c>
      <c r="AH85" s="212">
        <f t="shared" si="34"/>
        <v>8164718.4499999993</v>
      </c>
      <c r="AI85" s="212">
        <f t="shared" si="34"/>
        <v>8311078.5999999996</v>
      </c>
      <c r="AJ85" s="212">
        <f t="shared" si="34"/>
        <v>8928614.4000000004</v>
      </c>
      <c r="AK85" s="212">
        <f t="shared" si="34"/>
        <v>10260304.4</v>
      </c>
      <c r="AL85" s="212">
        <f t="shared" si="34"/>
        <v>10493132.6</v>
      </c>
      <c r="AM85" s="212">
        <f t="shared" si="34"/>
        <v>10831729.890000001</v>
      </c>
      <c r="AN85" s="212">
        <f t="shared" si="34"/>
        <v>10516755.4</v>
      </c>
      <c r="AO85" s="212" t="s">
        <v>661</v>
      </c>
      <c r="AP85" s="212" t="s">
        <v>661</v>
      </c>
      <c r="AQ85" s="212" t="s">
        <v>661</v>
      </c>
      <c r="AR85" s="212" t="s">
        <v>661</v>
      </c>
      <c r="AS85" s="212" t="s">
        <v>661</v>
      </c>
      <c r="AT85" s="212" t="s">
        <v>661</v>
      </c>
      <c r="AU85" s="212" t="s">
        <v>661</v>
      </c>
      <c r="AV85" s="212" t="s">
        <v>661</v>
      </c>
      <c r="AW85" s="212" t="s">
        <v>661</v>
      </c>
      <c r="AX85" s="125"/>
      <c r="AY85" s="212">
        <f t="shared" ref="AY85" si="40">IF(ISNUMBER(AY19+AY25),AY19+AY25,"not available")</f>
        <v>11205370</v>
      </c>
      <c r="AZ85" s="212" t="s">
        <v>661</v>
      </c>
    </row>
    <row r="86" spans="1:52" s="211" customFormat="1" x14ac:dyDescent="0.25">
      <c r="A86" s="123" t="s">
        <v>659</v>
      </c>
      <c r="B86" s="123"/>
      <c r="C86" s="123"/>
      <c r="D86" s="212" t="str">
        <f t="shared" si="37"/>
        <v>not available</v>
      </c>
      <c r="E86" s="212" t="str">
        <f t="shared" si="37"/>
        <v>not available</v>
      </c>
      <c r="F86" s="212" t="str">
        <f t="shared" si="37"/>
        <v>not available</v>
      </c>
      <c r="G86" s="212" t="str">
        <f t="shared" ref="G86:AN86" si="41">IF(ISNUMBER(G20+G26),G20+G26,"not available")</f>
        <v>not available</v>
      </c>
      <c r="H86" s="212" t="str">
        <f t="shared" si="41"/>
        <v>not available</v>
      </c>
      <c r="I86" s="212" t="str">
        <f t="shared" si="41"/>
        <v>not available</v>
      </c>
      <c r="J86" s="212" t="str">
        <f t="shared" si="41"/>
        <v>not available</v>
      </c>
      <c r="K86" s="212" t="str">
        <f t="shared" si="41"/>
        <v>not available</v>
      </c>
      <c r="L86" s="212" t="str">
        <f t="shared" si="41"/>
        <v>not available</v>
      </c>
      <c r="M86" s="212" t="str">
        <f t="shared" si="41"/>
        <v>not available</v>
      </c>
      <c r="N86" s="212" t="str">
        <f t="shared" si="41"/>
        <v>not available</v>
      </c>
      <c r="O86" s="212" t="str">
        <f t="shared" si="41"/>
        <v>not available</v>
      </c>
      <c r="P86" s="212" t="str">
        <f t="shared" si="41"/>
        <v>not available</v>
      </c>
      <c r="Q86" s="212" t="str">
        <f t="shared" si="41"/>
        <v>not available</v>
      </c>
      <c r="R86" s="212" t="str">
        <f t="shared" si="41"/>
        <v>not available</v>
      </c>
      <c r="S86" s="212" t="str">
        <f t="shared" si="41"/>
        <v>not available</v>
      </c>
      <c r="T86" s="212" t="str">
        <f t="shared" si="41"/>
        <v>not available</v>
      </c>
      <c r="U86" s="212">
        <f t="shared" si="41"/>
        <v>1889377.25</v>
      </c>
      <c r="V86" s="212">
        <f t="shared" si="41"/>
        <v>1900482.095</v>
      </c>
      <c r="W86" s="212">
        <f t="shared" si="41"/>
        <v>1948509.05</v>
      </c>
      <c r="X86" s="212">
        <f t="shared" si="41"/>
        <v>2045830.69</v>
      </c>
      <c r="Y86" s="212">
        <f t="shared" si="41"/>
        <v>2212766.3849999998</v>
      </c>
      <c r="Z86" s="212">
        <f t="shared" si="41"/>
        <v>2344653.625</v>
      </c>
      <c r="AA86" s="212">
        <f t="shared" si="41"/>
        <v>2491361.625</v>
      </c>
      <c r="AB86" s="212">
        <f t="shared" si="41"/>
        <v>2616585.4450000003</v>
      </c>
      <c r="AC86" s="212">
        <f t="shared" si="41"/>
        <v>2717439.665</v>
      </c>
      <c r="AD86" s="212">
        <f t="shared" si="41"/>
        <v>2744996.7149999999</v>
      </c>
      <c r="AE86" s="212">
        <f t="shared" si="41"/>
        <v>2776356.1700000004</v>
      </c>
      <c r="AF86" s="212">
        <f t="shared" si="41"/>
        <v>2745896.63</v>
      </c>
      <c r="AG86" s="212">
        <f t="shared" si="41"/>
        <v>2836621.3899999997</v>
      </c>
      <c r="AH86" s="212">
        <f t="shared" si="41"/>
        <v>2869555.12</v>
      </c>
      <c r="AI86" s="212">
        <f t="shared" si="41"/>
        <v>3048241.0500000003</v>
      </c>
      <c r="AJ86" s="212">
        <f t="shared" si="41"/>
        <v>3288685.5500000003</v>
      </c>
      <c r="AK86" s="212">
        <f t="shared" si="41"/>
        <v>3699321.02</v>
      </c>
      <c r="AL86" s="212">
        <f t="shared" si="41"/>
        <v>3945304.97</v>
      </c>
      <c r="AM86" s="212">
        <f t="shared" si="41"/>
        <v>4027323.7399999998</v>
      </c>
      <c r="AN86" s="212">
        <f t="shared" si="41"/>
        <v>4109342.51</v>
      </c>
      <c r="AO86" s="212" t="s">
        <v>661</v>
      </c>
      <c r="AP86" s="212" t="s">
        <v>661</v>
      </c>
      <c r="AQ86" s="212" t="s">
        <v>661</v>
      </c>
      <c r="AR86" s="212" t="s">
        <v>661</v>
      </c>
      <c r="AS86" s="212" t="s">
        <v>661</v>
      </c>
      <c r="AT86" s="212" t="s">
        <v>661</v>
      </c>
      <c r="AU86" s="212" t="s">
        <v>661</v>
      </c>
      <c r="AV86" s="212" t="s">
        <v>661</v>
      </c>
      <c r="AW86" s="212" t="s">
        <v>661</v>
      </c>
      <c r="AX86" s="125"/>
      <c r="AY86" s="212">
        <f t="shared" ref="AY86" si="42">IF(ISNUMBER(AY20+AY26),AY20+AY26,"not available")</f>
        <v>4066110</v>
      </c>
      <c r="AZ86" s="212" t="s">
        <v>661</v>
      </c>
    </row>
    <row r="87" spans="1:52" x14ac:dyDescent="0.25">
      <c r="AP87" s="211"/>
      <c r="AQ87" s="211"/>
      <c r="AR87" s="211"/>
      <c r="AS87" s="211"/>
      <c r="AT87" s="211"/>
      <c r="AU87" s="211"/>
      <c r="AV87" s="211"/>
      <c r="AW87" s="211"/>
      <c r="AX87" s="125"/>
    </row>
    <row r="88" spans="1:52" x14ac:dyDescent="0.25">
      <c r="A88" s="122" t="s">
        <v>98</v>
      </c>
      <c r="B88" s="122"/>
      <c r="AX88" s="125"/>
    </row>
    <row r="89" spans="1:52" x14ac:dyDescent="0.25">
      <c r="A89" s="123" t="s">
        <v>259</v>
      </c>
      <c r="B89" s="141"/>
      <c r="AX89" s="125"/>
    </row>
    <row r="90" spans="1:52" x14ac:dyDescent="0.25">
      <c r="A90" s="141" t="s">
        <v>284</v>
      </c>
    </row>
    <row r="92" spans="1:52" x14ac:dyDescent="0.25">
      <c r="H92" s="138"/>
    </row>
    <row r="93" spans="1:52" x14ac:dyDescent="0.25">
      <c r="H93" s="138"/>
    </row>
    <row r="94" spans="1:52" x14ac:dyDescent="0.25">
      <c r="H94" s="138"/>
    </row>
    <row r="95" spans="1:52" x14ac:dyDescent="0.25">
      <c r="I95" s="211"/>
    </row>
    <row r="96" spans="1:52" x14ac:dyDescent="0.25">
      <c r="I96" s="211"/>
    </row>
    <row r="97" spans="8:9" x14ac:dyDescent="0.25">
      <c r="I97" s="211"/>
    </row>
    <row r="98" spans="8:9" x14ac:dyDescent="0.25">
      <c r="I98" s="211"/>
    </row>
    <row r="99" spans="8:9" x14ac:dyDescent="0.25">
      <c r="I99" s="211"/>
    </row>
    <row r="100" spans="8:9" x14ac:dyDescent="0.25">
      <c r="I100" s="211"/>
    </row>
    <row r="101" spans="8:9" x14ac:dyDescent="0.25">
      <c r="I101" s="211"/>
    </row>
    <row r="102" spans="8:9" x14ac:dyDescent="0.25">
      <c r="I102" s="211"/>
    </row>
    <row r="110" spans="8:9" x14ac:dyDescent="0.25">
      <c r="H110" s="211"/>
    </row>
    <row r="111" spans="8:9" x14ac:dyDescent="0.25">
      <c r="H111" s="211"/>
    </row>
    <row r="112" spans="8:9" x14ac:dyDescent="0.25">
      <c r="H112" s="211"/>
    </row>
    <row r="113" spans="8:8" x14ac:dyDescent="0.25">
      <c r="H113" s="211"/>
    </row>
    <row r="114" spans="8:8" x14ac:dyDescent="0.25">
      <c r="H114" s="211"/>
    </row>
    <row r="115" spans="8:8" x14ac:dyDescent="0.25">
      <c r="H115" s="211"/>
    </row>
    <row r="116" spans="8:8" x14ac:dyDescent="0.25">
      <c r="H116" s="211"/>
    </row>
    <row r="117" spans="8:8" x14ac:dyDescent="0.25">
      <c r="H117" s="211"/>
    </row>
    <row r="118" spans="8:8" x14ac:dyDescent="0.25">
      <c r="H118" s="21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2"/>
  <sheetViews>
    <sheetView zoomScaleNormal="100" workbookViewId="0">
      <pane xSplit="3" ySplit="3" topLeftCell="AQ4" activePane="bottomRight" state="frozen"/>
      <selection pane="topRight" activeCell="D1" sqref="D1"/>
      <selection pane="bottomLeft" activeCell="A4" sqref="A4"/>
      <selection pane="bottomRight"/>
    </sheetView>
  </sheetViews>
  <sheetFormatPr defaultColWidth="15.7109375" defaultRowHeight="15" x14ac:dyDescent="0.25"/>
  <cols>
    <col min="1" max="1" width="10" style="24" customWidth="1"/>
    <col min="2" max="2" width="46.140625" style="24" customWidth="1"/>
    <col min="3" max="3" width="34.42578125" style="102" customWidth="1"/>
    <col min="4" max="49" width="15.7109375" style="6"/>
    <col min="50" max="50" width="15.7109375" style="63"/>
    <col min="51" max="51" width="15.7109375" style="193"/>
    <col min="52" max="16384" width="15.7109375" style="1"/>
  </cols>
  <sheetData>
    <row r="1" spans="1:53" s="191" customFormat="1" ht="18.75" x14ac:dyDescent="0.3">
      <c r="A1" s="58" t="s">
        <v>47</v>
      </c>
      <c r="C1" s="229"/>
      <c r="D1" s="190" t="s">
        <v>280</v>
      </c>
      <c r="N1" s="190" t="s">
        <v>278</v>
      </c>
      <c r="AM1" s="190" t="s">
        <v>278</v>
      </c>
      <c r="AP1" s="190" t="s">
        <v>279</v>
      </c>
      <c r="AW1" s="190" t="s">
        <v>196</v>
      </c>
      <c r="AX1" s="273"/>
      <c r="AY1" s="190" t="s">
        <v>106</v>
      </c>
      <c r="AZ1" s="190" t="s">
        <v>106</v>
      </c>
      <c r="BA1" s="190" t="s">
        <v>106</v>
      </c>
    </row>
    <row r="2" spans="1:53" s="26" customFormat="1" x14ac:dyDescent="0.25">
      <c r="A2" s="83" t="s">
        <v>273</v>
      </c>
      <c r="B2" s="83"/>
      <c r="C2" s="228" t="s">
        <v>636</v>
      </c>
      <c r="D2" s="27" t="s">
        <v>1</v>
      </c>
      <c r="E2" s="27" t="s">
        <v>1</v>
      </c>
      <c r="F2" s="27" t="s">
        <v>1</v>
      </c>
      <c r="G2" s="27" t="s">
        <v>1</v>
      </c>
      <c r="H2" s="27" t="s">
        <v>1</v>
      </c>
      <c r="I2" s="27" t="s">
        <v>1</v>
      </c>
      <c r="J2" s="27" t="s">
        <v>1</v>
      </c>
      <c r="K2" s="27" t="s">
        <v>1</v>
      </c>
      <c r="L2" s="27" t="s">
        <v>1</v>
      </c>
      <c r="M2" s="27" t="s">
        <v>1</v>
      </c>
      <c r="N2" s="27" t="s">
        <v>24</v>
      </c>
      <c r="O2" s="27" t="s">
        <v>24</v>
      </c>
      <c r="P2" s="27" t="s">
        <v>24</v>
      </c>
      <c r="Q2" s="27" t="s">
        <v>24</v>
      </c>
      <c r="R2" s="27" t="s">
        <v>24</v>
      </c>
      <c r="S2" s="27" t="s">
        <v>24</v>
      </c>
      <c r="T2" s="27" t="s">
        <v>24</v>
      </c>
      <c r="U2" s="27" t="s">
        <v>24</v>
      </c>
      <c r="V2" s="27" t="s">
        <v>24</v>
      </c>
      <c r="W2" s="27" t="s">
        <v>24</v>
      </c>
      <c r="X2" s="27" t="s">
        <v>24</v>
      </c>
      <c r="Y2" s="27" t="s">
        <v>24</v>
      </c>
      <c r="Z2" s="27" t="s">
        <v>24</v>
      </c>
      <c r="AA2" s="27" t="s">
        <v>24</v>
      </c>
      <c r="AB2" s="27" t="s">
        <v>24</v>
      </c>
      <c r="AC2" s="27" t="s">
        <v>24</v>
      </c>
      <c r="AD2" s="27" t="s">
        <v>24</v>
      </c>
      <c r="AE2" s="27" t="s">
        <v>24</v>
      </c>
      <c r="AF2" s="27" t="s">
        <v>24</v>
      </c>
      <c r="AG2" s="27" t="s">
        <v>24</v>
      </c>
      <c r="AH2" s="27" t="s">
        <v>24</v>
      </c>
      <c r="AI2" s="27" t="s">
        <v>24</v>
      </c>
      <c r="AJ2" s="27" t="s">
        <v>24</v>
      </c>
      <c r="AK2" s="27" t="s">
        <v>24</v>
      </c>
      <c r="AL2" s="27" t="s">
        <v>24</v>
      </c>
      <c r="AM2" s="27" t="s">
        <v>1</v>
      </c>
      <c r="AN2" s="27" t="s">
        <v>1</v>
      </c>
      <c r="AO2" s="27" t="s">
        <v>1</v>
      </c>
      <c r="AP2" s="27" t="s">
        <v>1</v>
      </c>
      <c r="AQ2" s="27" t="s">
        <v>1</v>
      </c>
      <c r="AR2" s="27" t="s">
        <v>1</v>
      </c>
      <c r="AS2" s="27" t="s">
        <v>1</v>
      </c>
      <c r="AT2" s="27" t="s">
        <v>1</v>
      </c>
      <c r="AU2" s="27" t="s">
        <v>1</v>
      </c>
      <c r="AV2" s="27" t="s">
        <v>1</v>
      </c>
      <c r="AW2" s="27" t="s">
        <v>24</v>
      </c>
      <c r="AX2" s="274"/>
      <c r="AY2" s="283" t="s">
        <v>700</v>
      </c>
      <c r="AZ2" s="27" t="s">
        <v>1</v>
      </c>
      <c r="BA2" s="27" t="s">
        <v>1</v>
      </c>
    </row>
    <row r="3" spans="1:53" s="29" customFormat="1" ht="15" customHeight="1" x14ac:dyDescent="0.25">
      <c r="A3" s="114" t="s">
        <v>36</v>
      </c>
      <c r="B3" s="23"/>
      <c r="C3" s="228" t="s">
        <v>646</v>
      </c>
      <c r="D3" s="29">
        <v>1904</v>
      </c>
      <c r="E3" s="29">
        <v>1905</v>
      </c>
      <c r="F3" s="29">
        <v>1906</v>
      </c>
      <c r="G3" s="29">
        <v>1907</v>
      </c>
      <c r="H3" s="29">
        <v>1908</v>
      </c>
      <c r="I3" s="29">
        <v>1909</v>
      </c>
      <c r="J3" s="29">
        <v>1910</v>
      </c>
      <c r="K3" s="29">
        <v>1911</v>
      </c>
      <c r="L3" s="29">
        <v>1912</v>
      </c>
      <c r="M3" s="29">
        <v>1913</v>
      </c>
      <c r="N3" s="29">
        <v>1914</v>
      </c>
      <c r="O3" s="29">
        <v>1915</v>
      </c>
      <c r="P3" s="29">
        <v>1916</v>
      </c>
      <c r="Q3" s="29">
        <v>1917</v>
      </c>
      <c r="R3" s="29">
        <v>1918</v>
      </c>
      <c r="S3" s="29">
        <v>1919</v>
      </c>
      <c r="T3" s="29">
        <v>1920</v>
      </c>
      <c r="U3" s="29">
        <v>1921</v>
      </c>
      <c r="V3" s="29">
        <v>1922</v>
      </c>
      <c r="W3" s="29">
        <v>1923</v>
      </c>
      <c r="X3" s="29">
        <v>1924</v>
      </c>
      <c r="Y3" s="29">
        <v>1925</v>
      </c>
      <c r="Z3" s="29">
        <v>1926</v>
      </c>
      <c r="AA3" s="29">
        <v>1927</v>
      </c>
      <c r="AB3" s="29">
        <v>1928</v>
      </c>
      <c r="AC3" s="29">
        <v>1929</v>
      </c>
      <c r="AD3" s="29">
        <v>1930</v>
      </c>
      <c r="AE3" s="29">
        <v>1931</v>
      </c>
      <c r="AF3" s="29">
        <v>1932</v>
      </c>
      <c r="AG3" s="29">
        <v>1933</v>
      </c>
      <c r="AH3" s="29">
        <v>1934</v>
      </c>
      <c r="AI3" s="29">
        <v>1935</v>
      </c>
      <c r="AJ3" s="29">
        <v>1936</v>
      </c>
      <c r="AK3" s="29">
        <v>1937</v>
      </c>
      <c r="AL3" s="29">
        <v>1938</v>
      </c>
      <c r="AM3" s="29">
        <v>1939</v>
      </c>
      <c r="AN3" s="29">
        <v>1940</v>
      </c>
      <c r="AO3" s="29">
        <v>1941</v>
      </c>
      <c r="AP3" s="29">
        <v>1942</v>
      </c>
      <c r="AQ3" s="29">
        <v>1943</v>
      </c>
      <c r="AR3" s="29">
        <v>1944</v>
      </c>
      <c r="AS3" s="29">
        <v>1945</v>
      </c>
      <c r="AT3" s="29">
        <v>1946</v>
      </c>
      <c r="AU3" s="29">
        <v>1947</v>
      </c>
      <c r="AV3" s="29">
        <v>1948</v>
      </c>
      <c r="AW3" s="29">
        <v>1948</v>
      </c>
      <c r="AX3" s="275"/>
      <c r="AY3" s="86">
        <v>1901</v>
      </c>
      <c r="AZ3" s="29">
        <v>1911</v>
      </c>
      <c r="BA3" s="29">
        <v>1912</v>
      </c>
    </row>
    <row r="4" spans="1:53" s="29" customFormat="1" ht="15" customHeight="1" x14ac:dyDescent="0.25">
      <c r="A4" s="59" t="s">
        <v>670</v>
      </c>
      <c r="B4" s="23"/>
      <c r="C4" s="229"/>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75"/>
      <c r="AY4" s="86"/>
    </row>
    <row r="5" spans="1:53" s="29" customFormat="1" ht="15" customHeight="1" x14ac:dyDescent="0.25">
      <c r="A5" s="59" t="s">
        <v>45</v>
      </c>
      <c r="B5" s="23"/>
      <c r="C5" s="229"/>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75"/>
      <c r="AY5" s="86"/>
    </row>
    <row r="6" spans="1:53" s="29" customFormat="1" ht="15" customHeight="1" x14ac:dyDescent="0.25">
      <c r="A6" s="201" t="s">
        <v>229</v>
      </c>
      <c r="B6" s="31"/>
      <c r="C6" s="229"/>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75"/>
      <c r="AY6" s="86"/>
    </row>
    <row r="7" spans="1:53" s="29" customFormat="1" ht="15" customHeight="1" x14ac:dyDescent="0.25">
      <c r="A7" s="201"/>
      <c r="B7" s="191" t="s">
        <v>671</v>
      </c>
      <c r="C7" s="229"/>
      <c r="D7" s="25">
        <f t="shared" ref="D7:AN7" si="0">D45</f>
        <v>2673216.9597856998</v>
      </c>
      <c r="E7" s="25">
        <f t="shared" si="0"/>
        <v>12018699.302042065</v>
      </c>
      <c r="F7" s="25">
        <f t="shared" si="0"/>
        <v>10986222.646102365</v>
      </c>
      <c r="G7" s="25">
        <f t="shared" si="0"/>
        <v>10892724.167673256</v>
      </c>
      <c r="H7" s="25">
        <f t="shared" si="0"/>
        <v>8939919.652540952</v>
      </c>
      <c r="I7" s="25">
        <f t="shared" si="0"/>
        <v>8247130.7768160366</v>
      </c>
      <c r="J7" s="25">
        <f t="shared" si="0"/>
        <v>9361910.8182229586</v>
      </c>
      <c r="K7" s="25">
        <f t="shared" si="0"/>
        <v>8264502.9863957297</v>
      </c>
      <c r="L7" s="25">
        <f t="shared" si="0"/>
        <v>8701198.5769674368</v>
      </c>
      <c r="M7" s="25">
        <f t="shared" si="0"/>
        <v>7700808.3442680379</v>
      </c>
      <c r="N7" s="25">
        <f t="shared" si="0"/>
        <v>6664793.5028934814</v>
      </c>
      <c r="O7" s="25">
        <f t="shared" si="0"/>
        <v>6352955.9414436296</v>
      </c>
      <c r="P7" s="25">
        <f t="shared" si="0"/>
        <v>7784590.6294333134</v>
      </c>
      <c r="Q7" s="25">
        <f t="shared" si="0"/>
        <v>9608124.9873185698</v>
      </c>
      <c r="R7" s="25">
        <f t="shared" si="0"/>
        <v>9857112.2513884641</v>
      </c>
      <c r="S7" s="25">
        <f t="shared" si="0"/>
        <v>8802915.0142144859</v>
      </c>
      <c r="T7" s="25">
        <f t="shared" si="0"/>
        <v>8271466.672541528</v>
      </c>
      <c r="U7" s="25">
        <f t="shared" si="0"/>
        <v>6441307.7296920009</v>
      </c>
      <c r="V7" s="25">
        <f t="shared" si="0"/>
        <v>5716524.1752499994</v>
      </c>
      <c r="W7" s="25">
        <f t="shared" si="0"/>
        <v>5490154.4518499989</v>
      </c>
      <c r="X7" s="25">
        <f t="shared" si="0"/>
        <v>5446831.7775499988</v>
      </c>
      <c r="Y7" s="25">
        <f t="shared" si="0"/>
        <v>5594720.2702000001</v>
      </c>
      <c r="Z7" s="25">
        <f t="shared" si="0"/>
        <v>5401404.9002999999</v>
      </c>
      <c r="AA7" s="25">
        <f t="shared" si="0"/>
        <v>5188014.4543000003</v>
      </c>
      <c r="AB7" s="25">
        <f t="shared" si="0"/>
        <v>5191690.3362499997</v>
      </c>
      <c r="AC7" s="25">
        <f t="shared" si="0"/>
        <v>4957685.0978500005</v>
      </c>
      <c r="AD7" s="25">
        <f t="shared" si="0"/>
        <v>4375562.41285</v>
      </c>
      <c r="AE7" s="25">
        <f t="shared" si="0"/>
        <v>3902857.8175999997</v>
      </c>
      <c r="AF7" s="25">
        <f t="shared" si="0"/>
        <v>3650784.6129499995</v>
      </c>
      <c r="AG7" s="25">
        <f t="shared" si="0"/>
        <v>3661907.3663500003</v>
      </c>
      <c r="AH7" s="25">
        <f t="shared" si="0"/>
        <v>3801404.95315</v>
      </c>
      <c r="AI7" s="25">
        <f t="shared" si="0"/>
        <v>4095137.4761999999</v>
      </c>
      <c r="AJ7" s="25">
        <f t="shared" si="0"/>
        <v>3860320.5720999995</v>
      </c>
      <c r="AK7" s="25">
        <f t="shared" si="0"/>
        <v>4132248.4867500002</v>
      </c>
      <c r="AL7" s="25">
        <f t="shared" si="0"/>
        <v>4056560.9000999997</v>
      </c>
      <c r="AM7" s="25">
        <f t="shared" si="0"/>
        <v>3976861.3134500002</v>
      </c>
      <c r="AN7" s="25">
        <f t="shared" si="0"/>
        <v>3896972.7443999997</v>
      </c>
      <c r="AO7" s="25" t="s">
        <v>429</v>
      </c>
      <c r="AP7" s="25" t="s">
        <v>429</v>
      </c>
      <c r="AQ7" s="25" t="s">
        <v>429</v>
      </c>
      <c r="AR7" s="25" t="s">
        <v>429</v>
      </c>
      <c r="AS7" s="25" t="s">
        <v>429</v>
      </c>
      <c r="AT7" s="25" t="s">
        <v>429</v>
      </c>
      <c r="AU7" s="25" t="e">
        <f>AU45</f>
        <v>#VALUE!</v>
      </c>
      <c r="AV7" s="25" t="e">
        <f>AV45</f>
        <v>#VALUE!</v>
      </c>
      <c r="AW7" s="25" t="e">
        <f>AW45</f>
        <v>#VALUE!</v>
      </c>
      <c r="AX7" s="275"/>
      <c r="AY7" s="86"/>
    </row>
    <row r="8" spans="1:53" s="29" customFormat="1" ht="15" customHeight="1" x14ac:dyDescent="0.25">
      <c r="A8" s="201"/>
      <c r="B8" s="191" t="s">
        <v>696</v>
      </c>
      <c r="C8" s="229"/>
      <c r="D8" s="25">
        <f t="shared" ref="D8:AN8" si="1">SUM(D52,D60)*D37*D42*D44</f>
        <v>5428800</v>
      </c>
      <c r="E8" s="25">
        <f t="shared" si="1"/>
        <v>13798200</v>
      </c>
      <c r="F8" s="25">
        <f t="shared" si="1"/>
        <v>15061332</v>
      </c>
      <c r="G8" s="25">
        <f t="shared" si="1"/>
        <v>14626313.057664001</v>
      </c>
      <c r="H8" s="25">
        <f t="shared" si="1"/>
        <v>24178466.445919041</v>
      </c>
      <c r="I8" s="25">
        <f t="shared" si="1"/>
        <v>0</v>
      </c>
      <c r="J8" s="25">
        <f t="shared" si="1"/>
        <v>0</v>
      </c>
      <c r="K8" s="25">
        <f t="shared" si="1"/>
        <v>0</v>
      </c>
      <c r="L8" s="25">
        <f t="shared" si="1"/>
        <v>0</v>
      </c>
      <c r="M8" s="25">
        <f t="shared" si="1"/>
        <v>0</v>
      </c>
      <c r="N8" s="25">
        <f t="shared" si="1"/>
        <v>0</v>
      </c>
      <c r="O8" s="25">
        <f t="shared" si="1"/>
        <v>0</v>
      </c>
      <c r="P8" s="25">
        <f t="shared" si="1"/>
        <v>0</v>
      </c>
      <c r="Q8" s="25">
        <f t="shared" si="1"/>
        <v>0</v>
      </c>
      <c r="R8" s="25">
        <f t="shared" si="1"/>
        <v>0</v>
      </c>
      <c r="S8" s="25">
        <f t="shared" si="1"/>
        <v>0</v>
      </c>
      <c r="T8" s="25">
        <f t="shared" si="1"/>
        <v>0</v>
      </c>
      <c r="U8" s="25">
        <f t="shared" si="1"/>
        <v>0</v>
      </c>
      <c r="V8" s="25">
        <f t="shared" si="1"/>
        <v>0</v>
      </c>
      <c r="W8" s="25">
        <f t="shared" si="1"/>
        <v>0</v>
      </c>
      <c r="X8" s="25">
        <f t="shared" si="1"/>
        <v>0</v>
      </c>
      <c r="Y8" s="25">
        <f t="shared" si="1"/>
        <v>0</v>
      </c>
      <c r="Z8" s="25">
        <f t="shared" si="1"/>
        <v>0</v>
      </c>
      <c r="AA8" s="25">
        <f t="shared" si="1"/>
        <v>0</v>
      </c>
      <c r="AB8" s="25">
        <f t="shared" si="1"/>
        <v>0</v>
      </c>
      <c r="AC8" s="25">
        <f t="shared" si="1"/>
        <v>0</v>
      </c>
      <c r="AD8" s="25">
        <f t="shared" si="1"/>
        <v>0</v>
      </c>
      <c r="AE8" s="25">
        <f t="shared" si="1"/>
        <v>0</v>
      </c>
      <c r="AF8" s="25">
        <f t="shared" si="1"/>
        <v>0</v>
      </c>
      <c r="AG8" s="25">
        <f t="shared" si="1"/>
        <v>0</v>
      </c>
      <c r="AH8" s="25">
        <f t="shared" si="1"/>
        <v>0</v>
      </c>
      <c r="AI8" s="25">
        <f t="shared" si="1"/>
        <v>0</v>
      </c>
      <c r="AJ8" s="25">
        <f t="shared" si="1"/>
        <v>0</v>
      </c>
      <c r="AK8" s="25">
        <f t="shared" si="1"/>
        <v>0</v>
      </c>
      <c r="AL8" s="25">
        <f t="shared" si="1"/>
        <v>0</v>
      </c>
      <c r="AM8" s="25">
        <f t="shared" si="1"/>
        <v>0</v>
      </c>
      <c r="AN8" s="25">
        <f t="shared" si="1"/>
        <v>0</v>
      </c>
      <c r="AO8" s="25" t="s">
        <v>429</v>
      </c>
      <c r="AP8" s="25" t="s">
        <v>429</v>
      </c>
      <c r="AQ8" s="25" t="s">
        <v>429</v>
      </c>
      <c r="AR8" s="25" t="s">
        <v>429</v>
      </c>
      <c r="AS8" s="25" t="s">
        <v>429</v>
      </c>
      <c r="AT8" s="25" t="s">
        <v>429</v>
      </c>
      <c r="AU8" s="25">
        <f>SUM(AU52,AU60)*AU37*AU42*AU44</f>
        <v>0</v>
      </c>
      <c r="AV8" s="25">
        <f>SUM(AV52,AV60)*AV37*AV42*AV44</f>
        <v>479626.56</v>
      </c>
      <c r="AW8" s="25">
        <f>SUM(AW52,AW60)*AW37*AW42*AW44</f>
        <v>479626.56</v>
      </c>
      <c r="AX8" s="275"/>
      <c r="AY8" s="86"/>
    </row>
    <row r="9" spans="1:53" s="29" customFormat="1" ht="15" customHeight="1" x14ac:dyDescent="0.25">
      <c r="A9" s="201"/>
      <c r="B9" s="191" t="s">
        <v>695</v>
      </c>
      <c r="C9" s="229"/>
      <c r="D9" s="25">
        <f>SUM(D52:D53,D55,D57:D63)</f>
        <v>6000000</v>
      </c>
      <c r="E9" s="25">
        <f>SUM(E55,E57:E61:E63)</f>
        <v>0</v>
      </c>
      <c r="F9" s="25">
        <f>SUM(F55,F57:F61:F63)</f>
        <v>0</v>
      </c>
      <c r="G9" s="25">
        <f>SUM(G55,G57:G61:G63)</f>
        <v>0</v>
      </c>
      <c r="H9" s="25">
        <f>SUM(H55,H57:H61:H63)</f>
        <v>0</v>
      </c>
      <c r="I9" s="25">
        <f>SUM(I55,I57:I61:I63)</f>
        <v>35395739.829999998</v>
      </c>
      <c r="J9" s="25">
        <f>SUM(J55,J57:J61:J63)</f>
        <v>44502607.339999996</v>
      </c>
      <c r="K9" s="25">
        <f>SUM(K55,K57:K61:K63)</f>
        <v>30175474</v>
      </c>
      <c r="L9" s="25">
        <f>SUM(L55,L57:L61:L63)</f>
        <v>26082234.740000002</v>
      </c>
      <c r="M9" s="25">
        <f>SUM(M55,M57:M61:M63)</f>
        <v>22279758.740000002</v>
      </c>
      <c r="N9" s="25">
        <f>SUM(N55,N57:N61:N63)</f>
        <v>10951333.1</v>
      </c>
      <c r="O9" s="25">
        <f>SUM(O55,O57:O61:O63)</f>
        <v>10258813.140000001</v>
      </c>
      <c r="P9" s="25">
        <f>SUM(P55,P57:P61:P63)</f>
        <v>34728465.240000002</v>
      </c>
      <c r="Q9" s="25">
        <f>SUM(Q55,Q57:Q61:Q63)</f>
        <v>64409994</v>
      </c>
      <c r="R9" s="25">
        <f>SUM(R55,R57:R61:R63)</f>
        <v>0</v>
      </c>
      <c r="S9" s="25">
        <f>SUM(S55,S57:S61:S63)</f>
        <v>0</v>
      </c>
      <c r="T9" s="25">
        <f>SUM(T55,T57:T61:T63)</f>
        <v>0</v>
      </c>
      <c r="U9" s="25">
        <f>SUM(U55,U57:U61:U63)</f>
        <v>0</v>
      </c>
      <c r="V9" s="25">
        <f>SUM(V55,V57:V61:V63)</f>
        <v>0</v>
      </c>
      <c r="W9" s="25">
        <f>SUM(W55,W57:W61:W63)</f>
        <v>43533129</v>
      </c>
      <c r="X9" s="25">
        <f>SUM(X55,X57:X61:X63)</f>
        <v>54244129</v>
      </c>
      <c r="Y9" s="25">
        <f>SUM(Y55,Y57:Y61:Y63)</f>
        <v>76775107</v>
      </c>
      <c r="Z9" s="25">
        <f>SUM(Z55,Z57:Z61:Z63)</f>
        <v>69075107</v>
      </c>
      <c r="AA9" s="25">
        <f>SUM(AA55,AA57:AA61:AA63)</f>
        <v>73075107</v>
      </c>
      <c r="AB9" s="25">
        <f>SUM(AB55,AB57:AB61:AB63)</f>
        <v>77825107</v>
      </c>
      <c r="AC9" s="25">
        <f>SUM(AC55,AC57:AC61:AC63)</f>
        <v>84125107</v>
      </c>
      <c r="AD9" s="25">
        <f>SUM(AD55,AD57:AD61:AD63)</f>
        <v>84915107</v>
      </c>
      <c r="AE9" s="25">
        <f>SUM(AE55,AE57:AE61:AE63)</f>
        <v>76327607</v>
      </c>
      <c r="AF9" s="25">
        <f>SUM(AF55,AF57:AF61:AF63)</f>
        <v>74327607</v>
      </c>
      <c r="AG9" s="25">
        <f>SUM(AG55,AG57:AG61:AG63)</f>
        <v>74327607</v>
      </c>
      <c r="AH9" s="25">
        <f>SUM(AH55,AH57:AH61:AH63)</f>
        <v>74327607</v>
      </c>
      <c r="AI9" s="25">
        <f>SUM(AI55,AI57:AI61:AI63)</f>
        <v>86477607</v>
      </c>
      <c r="AJ9" s="25">
        <f>SUM(AJ55,AJ57:AJ61:AJ63)</f>
        <v>112477607</v>
      </c>
      <c r="AK9" s="25">
        <f>SUM(AK55,AK57:AK61:AK63)</f>
        <v>128477607</v>
      </c>
      <c r="AL9" s="25">
        <f>SUM(AL55,AL57:AL61:AL63)</f>
        <v>159477607</v>
      </c>
      <c r="AM9" s="25">
        <f>SUM(AM55,AM57:AM61:AM63)</f>
        <v>147477607</v>
      </c>
      <c r="AN9" s="25">
        <f>SUM(AN55,AN57:AN61:AN63)</f>
        <v>140477607</v>
      </c>
      <c r="AO9" s="25" t="s">
        <v>429</v>
      </c>
      <c r="AP9" s="25" t="s">
        <v>429</v>
      </c>
      <c r="AQ9" s="25" t="s">
        <v>429</v>
      </c>
      <c r="AR9" s="25" t="s">
        <v>429</v>
      </c>
      <c r="AS9" s="25" t="s">
        <v>429</v>
      </c>
      <c r="AT9" s="25" t="s">
        <v>429</v>
      </c>
      <c r="AU9" s="25">
        <f>SUM(AU55,AU57:AU61:AU63)</f>
        <v>0</v>
      </c>
      <c r="AV9" s="25">
        <f>SUM(AV55,AV57:AV61:AV63)</f>
        <v>737342956.41999996</v>
      </c>
      <c r="AW9" s="25">
        <f>SUM(AW55,AW57:AW61:AW63)</f>
        <v>765342956.41999996</v>
      </c>
      <c r="AX9" s="275"/>
      <c r="AY9" s="86"/>
    </row>
    <row r="10" spans="1:53" s="29" customFormat="1" ht="15" customHeight="1" x14ac:dyDescent="0.25">
      <c r="A10" s="201"/>
      <c r="B10" s="191" t="s">
        <v>634</v>
      </c>
      <c r="C10" s="229"/>
      <c r="D10" s="25">
        <f>SUM(D83:D84,D90:D91,D107:D111,D140,D181:D183,D206:D209,D212:D213)</f>
        <v>9263591.1999999993</v>
      </c>
      <c r="E10" s="25">
        <f t="shared" ref="E10:AN10" si="2">SUM(E83:E84,E90:E91,E107:E111,E140,E181:E183,E206:E209,E212:E213)</f>
        <v>7368704.3599999994</v>
      </c>
      <c r="F10" s="25">
        <f t="shared" si="2"/>
        <v>5669374.7400000002</v>
      </c>
      <c r="G10" s="25">
        <f t="shared" si="2"/>
        <v>531521.8200000003</v>
      </c>
      <c r="H10" s="25">
        <f t="shared" si="2"/>
        <v>16101646.359999999</v>
      </c>
      <c r="I10" s="25">
        <f t="shared" si="2"/>
        <v>17757526.390000001</v>
      </c>
      <c r="J10" s="25">
        <f t="shared" si="2"/>
        <v>19339000</v>
      </c>
      <c r="K10" s="25">
        <f t="shared" si="2"/>
        <v>441152.4</v>
      </c>
      <c r="L10" s="25">
        <f t="shared" si="2"/>
        <v>287880.62</v>
      </c>
      <c r="M10" s="25">
        <f t="shared" si="2"/>
        <v>258847.8</v>
      </c>
      <c r="N10" s="25">
        <f t="shared" si="2"/>
        <v>253551.07</v>
      </c>
      <c r="O10" s="25">
        <f t="shared" si="2"/>
        <v>273766.35000000003</v>
      </c>
      <c r="P10" s="25">
        <f t="shared" si="2"/>
        <v>5154.3</v>
      </c>
      <c r="Q10" s="25">
        <f t="shared" si="2"/>
        <v>2010856.46</v>
      </c>
      <c r="R10" s="25">
        <f t="shared" si="2"/>
        <v>15285211.640000008</v>
      </c>
      <c r="S10" s="25">
        <f t="shared" si="2"/>
        <v>14933927.239999995</v>
      </c>
      <c r="T10" s="25">
        <f t="shared" si="2"/>
        <v>-1463610.5400000066</v>
      </c>
      <c r="U10" s="25">
        <f t="shared" si="2"/>
        <v>0</v>
      </c>
      <c r="V10" s="25">
        <f t="shared" si="2"/>
        <v>0</v>
      </c>
      <c r="W10" s="25">
        <f t="shared" si="2"/>
        <v>13630828.219999999</v>
      </c>
      <c r="X10" s="25">
        <f t="shared" si="2"/>
        <v>15224730.149999999</v>
      </c>
      <c r="Y10" s="25">
        <f t="shared" si="2"/>
        <v>18035236</v>
      </c>
      <c r="Z10" s="25">
        <f t="shared" si="2"/>
        <v>21096570.560000002</v>
      </c>
      <c r="AA10" s="25">
        <f t="shared" si="2"/>
        <v>24198484.609999999</v>
      </c>
      <c r="AB10" s="25">
        <f t="shared" si="2"/>
        <v>27460300.850000001</v>
      </c>
      <c r="AC10" s="25">
        <f t="shared" si="2"/>
        <v>30811183.770000003</v>
      </c>
      <c r="AD10" s="25">
        <f t="shared" si="2"/>
        <v>34242210.82</v>
      </c>
      <c r="AE10" s="25">
        <f t="shared" si="2"/>
        <v>38940387.990000002</v>
      </c>
      <c r="AF10" s="25">
        <f t="shared" si="2"/>
        <v>42560949.450000003</v>
      </c>
      <c r="AG10" s="25">
        <f t="shared" si="2"/>
        <v>44623735.440000005</v>
      </c>
      <c r="AH10" s="25">
        <f t="shared" si="2"/>
        <v>46626530.610000007</v>
      </c>
      <c r="AI10" s="25">
        <f t="shared" si="2"/>
        <v>47807462</v>
      </c>
      <c r="AJ10" s="25">
        <f t="shared" si="2"/>
        <v>43818205.189999998</v>
      </c>
      <c r="AK10" s="25">
        <f t="shared" si="2"/>
        <v>45617903.600000001</v>
      </c>
      <c r="AL10" s="25">
        <f t="shared" si="2"/>
        <v>47397874.770000003</v>
      </c>
      <c r="AM10" s="25">
        <f t="shared" si="2"/>
        <v>48405150.109999999</v>
      </c>
      <c r="AN10" s="25">
        <f t="shared" si="2"/>
        <v>50801649.700000003</v>
      </c>
      <c r="AO10" s="25" t="s">
        <v>429</v>
      </c>
      <c r="AP10" s="25" t="s">
        <v>429</v>
      </c>
      <c r="AQ10" s="25" t="s">
        <v>429</v>
      </c>
      <c r="AR10" s="25" t="s">
        <v>429</v>
      </c>
      <c r="AS10" s="25" t="s">
        <v>429</v>
      </c>
      <c r="AT10" s="25" t="s">
        <v>429</v>
      </c>
      <c r="AU10" s="25">
        <f t="shared" ref="AU10:AW10" si="3">SUM(AU83:AU84,AU90:AU91,AU107:AU111,AU140,AU181:AU183,AU206:AU209,AU212:AU213)</f>
        <v>0</v>
      </c>
      <c r="AV10" s="25">
        <f t="shared" si="3"/>
        <v>10453802.610000001</v>
      </c>
      <c r="AW10" s="25">
        <f t="shared" si="3"/>
        <v>6530239.169999999</v>
      </c>
      <c r="AX10" s="275"/>
      <c r="AY10" s="86"/>
    </row>
    <row r="11" spans="1:53" s="29" customFormat="1" ht="15" customHeight="1" x14ac:dyDescent="0.25">
      <c r="A11" s="201" t="s">
        <v>230</v>
      </c>
      <c r="B11" s="31"/>
      <c r="C11" s="229"/>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75"/>
      <c r="AY11" s="86"/>
    </row>
    <row r="12" spans="1:53" s="29" customFormat="1" ht="15" customHeight="1" x14ac:dyDescent="0.25">
      <c r="A12" s="201"/>
      <c r="B12" s="191" t="s">
        <v>724</v>
      </c>
      <c r="C12" s="229"/>
      <c r="D12" s="25">
        <f>SUM(D64:D66)</f>
        <v>0</v>
      </c>
      <c r="E12" s="25">
        <f t="shared" ref="E12:AW12" si="4">SUM(E64:E66)</f>
        <v>0</v>
      </c>
      <c r="F12" s="25">
        <f t="shared" si="4"/>
        <v>0</v>
      </c>
      <c r="G12" s="25">
        <f t="shared" si="4"/>
        <v>0</v>
      </c>
      <c r="H12" s="25">
        <f t="shared" si="4"/>
        <v>0</v>
      </c>
      <c r="I12" s="25">
        <f t="shared" si="4"/>
        <v>3015338.85</v>
      </c>
      <c r="J12" s="25">
        <f t="shared" si="4"/>
        <v>5129228.07</v>
      </c>
      <c r="K12" s="25">
        <f t="shared" si="4"/>
        <v>5165945.75</v>
      </c>
      <c r="L12" s="25">
        <f t="shared" si="4"/>
        <v>7995590.0699999994</v>
      </c>
      <c r="M12" s="25">
        <f t="shared" si="4"/>
        <v>3255488.8099999996</v>
      </c>
      <c r="N12" s="25">
        <f t="shared" si="4"/>
        <v>4400809.9499999993</v>
      </c>
      <c r="O12" s="25">
        <f t="shared" si="4"/>
        <v>6567787.5899999999</v>
      </c>
      <c r="P12" s="25">
        <f t="shared" si="4"/>
        <v>15531134.550000001</v>
      </c>
      <c r="Q12" s="25">
        <f t="shared" si="4"/>
        <v>33465938.91</v>
      </c>
      <c r="R12" s="25">
        <f t="shared" si="4"/>
        <v>0</v>
      </c>
      <c r="S12" s="25">
        <f t="shared" si="4"/>
        <v>0</v>
      </c>
      <c r="T12" s="25">
        <f t="shared" si="4"/>
        <v>0</v>
      </c>
      <c r="U12" s="25">
        <f t="shared" si="4"/>
        <v>0</v>
      </c>
      <c r="V12" s="25">
        <f t="shared" si="4"/>
        <v>0</v>
      </c>
      <c r="W12" s="25">
        <f t="shared" si="4"/>
        <v>0</v>
      </c>
      <c r="X12" s="25">
        <f t="shared" si="4"/>
        <v>0</v>
      </c>
      <c r="Y12" s="25">
        <f t="shared" si="4"/>
        <v>0</v>
      </c>
      <c r="Z12" s="25">
        <f t="shared" si="4"/>
        <v>0</v>
      </c>
      <c r="AA12" s="25">
        <f t="shared" si="4"/>
        <v>0</v>
      </c>
      <c r="AB12" s="25">
        <f t="shared" si="4"/>
        <v>0</v>
      </c>
      <c r="AC12" s="25">
        <f t="shared" si="4"/>
        <v>0</v>
      </c>
      <c r="AD12" s="25">
        <f t="shared" si="4"/>
        <v>0</v>
      </c>
      <c r="AE12" s="25">
        <f t="shared" si="4"/>
        <v>0</v>
      </c>
      <c r="AF12" s="25">
        <f t="shared" si="4"/>
        <v>0</v>
      </c>
      <c r="AG12" s="25">
        <f t="shared" si="4"/>
        <v>0</v>
      </c>
      <c r="AH12" s="25">
        <f t="shared" si="4"/>
        <v>0</v>
      </c>
      <c r="AI12" s="25">
        <f t="shared" si="4"/>
        <v>0</v>
      </c>
      <c r="AJ12" s="25">
        <f t="shared" si="4"/>
        <v>0</v>
      </c>
      <c r="AK12" s="25">
        <f t="shared" si="4"/>
        <v>0</v>
      </c>
      <c r="AL12" s="25">
        <f t="shared" si="4"/>
        <v>0</v>
      </c>
      <c r="AM12" s="25">
        <f t="shared" si="4"/>
        <v>0</v>
      </c>
      <c r="AN12" s="25">
        <f t="shared" si="4"/>
        <v>0</v>
      </c>
      <c r="AO12" s="25" t="s">
        <v>429</v>
      </c>
      <c r="AP12" s="25" t="s">
        <v>429</v>
      </c>
      <c r="AQ12" s="25" t="s">
        <v>429</v>
      </c>
      <c r="AR12" s="25" t="s">
        <v>429</v>
      </c>
      <c r="AS12" s="25" t="s">
        <v>429</v>
      </c>
      <c r="AT12" s="25" t="s">
        <v>429</v>
      </c>
      <c r="AU12" s="25">
        <f t="shared" si="4"/>
        <v>0</v>
      </c>
      <c r="AV12" s="25">
        <f t="shared" si="4"/>
        <v>0</v>
      </c>
      <c r="AW12" s="25">
        <f t="shared" si="4"/>
        <v>0</v>
      </c>
      <c r="AX12" s="275"/>
      <c r="AY12" s="86"/>
    </row>
    <row r="13" spans="1:53" s="29" customFormat="1" ht="15" customHeight="1" x14ac:dyDescent="0.25">
      <c r="A13" s="201"/>
      <c r="B13" s="191" t="s">
        <v>634</v>
      </c>
      <c r="C13" s="229"/>
      <c r="D13" s="25">
        <f>SUM(D85:D87,D92,D104:D106,D112:D118,D120:D123,D138,D151:D180,D184:D185,D205,D210:D211,D214:D219)</f>
        <v>0</v>
      </c>
      <c r="E13" s="25">
        <f t="shared" ref="E13:AN13" si="5">SUM(E85:E87,E92,E104:E106,E112:E118,E120:E123,E138,E151:E180,E184:E185,E205,E210:E211,E214:E219)</f>
        <v>0</v>
      </c>
      <c r="F13" s="25">
        <f t="shared" si="5"/>
        <v>0</v>
      </c>
      <c r="G13" s="25">
        <f t="shared" si="5"/>
        <v>751.54</v>
      </c>
      <c r="H13" s="25">
        <f t="shared" si="5"/>
        <v>0</v>
      </c>
      <c r="I13" s="25">
        <f t="shared" si="5"/>
        <v>0</v>
      </c>
      <c r="J13" s="25">
        <f t="shared" si="5"/>
        <v>0</v>
      </c>
      <c r="K13" s="25">
        <f t="shared" si="5"/>
        <v>25512.16</v>
      </c>
      <c r="L13" s="25">
        <f t="shared" si="5"/>
        <v>2239626.29</v>
      </c>
      <c r="M13" s="25">
        <f t="shared" si="5"/>
        <v>5769569.1100000003</v>
      </c>
      <c r="N13" s="25">
        <f t="shared" si="5"/>
        <v>8550413.4600000009</v>
      </c>
      <c r="O13" s="25">
        <f t="shared" si="5"/>
        <v>10078084.659999998</v>
      </c>
      <c r="P13" s="25">
        <f t="shared" si="5"/>
        <v>10978361.580000002</v>
      </c>
      <c r="Q13" s="25">
        <f t="shared" si="5"/>
        <v>11087338.069999998</v>
      </c>
      <c r="R13" s="25">
        <f t="shared" si="5"/>
        <v>88249633.450000003</v>
      </c>
      <c r="S13" s="25">
        <f t="shared" si="5"/>
        <v>78845991.870000005</v>
      </c>
      <c r="T13" s="25">
        <f t="shared" si="5"/>
        <v>77469197.129999995</v>
      </c>
      <c r="U13" s="25">
        <f t="shared" si="5"/>
        <v>91169.729999999981</v>
      </c>
      <c r="V13" s="25">
        <f t="shared" si="5"/>
        <v>10773.75</v>
      </c>
      <c r="W13" s="25">
        <f t="shared" si="5"/>
        <v>-7523.3999999999651</v>
      </c>
      <c r="X13" s="25">
        <f t="shared" si="5"/>
        <v>424286.77999999997</v>
      </c>
      <c r="Y13" s="25">
        <f t="shared" si="5"/>
        <v>443290.80000000005</v>
      </c>
      <c r="Z13" s="25">
        <f t="shared" si="5"/>
        <v>615124.29999999993</v>
      </c>
      <c r="AA13" s="25">
        <f t="shared" si="5"/>
        <v>647382.23</v>
      </c>
      <c r="AB13" s="25">
        <f t="shared" si="5"/>
        <v>854519.61</v>
      </c>
      <c r="AC13" s="25">
        <f t="shared" si="5"/>
        <v>1203764.9099999999</v>
      </c>
      <c r="AD13" s="25">
        <f t="shared" si="5"/>
        <v>1830591.2600000005</v>
      </c>
      <c r="AE13" s="25">
        <f t="shared" si="5"/>
        <v>857711.27</v>
      </c>
      <c r="AF13" s="25">
        <f t="shared" si="5"/>
        <v>780693.32</v>
      </c>
      <c r="AG13" s="25">
        <f t="shared" si="5"/>
        <v>527485.53999999992</v>
      </c>
      <c r="AH13" s="25">
        <f t="shared" si="5"/>
        <v>419753.19999999995</v>
      </c>
      <c r="AI13" s="25">
        <f t="shared" si="5"/>
        <v>1248835.6199999999</v>
      </c>
      <c r="AJ13" s="25">
        <f t="shared" si="5"/>
        <v>886554.91999999993</v>
      </c>
      <c r="AK13" s="25">
        <f t="shared" si="5"/>
        <v>1105630.6100000003</v>
      </c>
      <c r="AL13" s="25">
        <f t="shared" si="5"/>
        <v>1417979.2000000002</v>
      </c>
      <c r="AM13" s="25">
        <f t="shared" si="5"/>
        <v>1399275.6600000001</v>
      </c>
      <c r="AN13" s="25">
        <f t="shared" si="5"/>
        <v>137156.5</v>
      </c>
      <c r="AO13" s="25" t="s">
        <v>429</v>
      </c>
      <c r="AP13" s="25" t="s">
        <v>429</v>
      </c>
      <c r="AQ13" s="25" t="s">
        <v>429</v>
      </c>
      <c r="AR13" s="25" t="s">
        <v>429</v>
      </c>
      <c r="AS13" s="25" t="s">
        <v>429</v>
      </c>
      <c r="AT13" s="25" t="s">
        <v>429</v>
      </c>
      <c r="AU13" s="25">
        <f t="shared" ref="AU13:AW13" si="6">SUM(AU85:AU87,AU92,AU104:AU106,AU112:AU118,AU120:AU123,AU138,AU151:AU180,AU184:AU185,AU205,AU210:AU211,AU214:AU219)</f>
        <v>43000000</v>
      </c>
      <c r="AV13" s="25">
        <f t="shared" si="6"/>
        <v>33087234.509999998</v>
      </c>
      <c r="AW13" s="25">
        <f t="shared" si="6"/>
        <v>45453644.57</v>
      </c>
      <c r="AX13" s="275"/>
      <c r="AY13" s="86"/>
    </row>
    <row r="14" spans="1:53" s="29" customFormat="1" ht="15" customHeight="1" x14ac:dyDescent="0.25">
      <c r="A14" s="59" t="s">
        <v>39</v>
      </c>
      <c r="B14" s="23"/>
      <c r="C14" s="228"/>
      <c r="D14" s="7">
        <f t="shared" ref="D14:AL14" si="7">SUM(D7:D13)</f>
        <v>23365608.159785699</v>
      </c>
      <c r="E14" s="7">
        <f t="shared" si="7"/>
        <v>33185603.662042066</v>
      </c>
      <c r="F14" s="7">
        <f t="shared" si="7"/>
        <v>31716929.386102363</v>
      </c>
      <c r="G14" s="7">
        <f t="shared" si="7"/>
        <v>26051310.585337259</v>
      </c>
      <c r="H14" s="7">
        <f t="shared" si="7"/>
        <v>49220032.458459988</v>
      </c>
      <c r="I14" s="7">
        <f t="shared" si="7"/>
        <v>64415735.846816041</v>
      </c>
      <c r="J14" s="7">
        <f t="shared" si="7"/>
        <v>78332746.228222966</v>
      </c>
      <c r="K14" s="7">
        <f t="shared" si="7"/>
        <v>44072587.296395727</v>
      </c>
      <c r="L14" s="7">
        <f t="shared" si="7"/>
        <v>45306530.296967439</v>
      </c>
      <c r="M14" s="7">
        <f t="shared" si="7"/>
        <v>39264472.80426804</v>
      </c>
      <c r="N14" s="7">
        <f t="shared" si="7"/>
        <v>30820901.08289348</v>
      </c>
      <c r="O14" s="7">
        <f t="shared" si="7"/>
        <v>33531407.681443632</v>
      </c>
      <c r="P14" s="7">
        <f t="shared" si="7"/>
        <v>69027706.299433306</v>
      </c>
      <c r="Q14" s="7">
        <f t="shared" si="7"/>
        <v>120582252.42731856</v>
      </c>
      <c r="R14" s="7">
        <f t="shared" si="7"/>
        <v>113391957.34138848</v>
      </c>
      <c r="S14" s="7">
        <f t="shared" si="7"/>
        <v>102582834.12421449</v>
      </c>
      <c r="T14" s="7">
        <f t="shared" si="7"/>
        <v>84277053.262541518</v>
      </c>
      <c r="U14" s="7">
        <f t="shared" si="7"/>
        <v>6532477.4596920013</v>
      </c>
      <c r="V14" s="7">
        <f t="shared" si="7"/>
        <v>5727297.9252499994</v>
      </c>
      <c r="W14" s="7">
        <f t="shared" si="7"/>
        <v>62646588.271849997</v>
      </c>
      <c r="X14" s="7">
        <f t="shared" si="7"/>
        <v>75339977.707549989</v>
      </c>
      <c r="Y14" s="7">
        <f t="shared" si="7"/>
        <v>100848354.0702</v>
      </c>
      <c r="Z14" s="7">
        <f t="shared" si="7"/>
        <v>96188206.760299996</v>
      </c>
      <c r="AA14" s="7">
        <f t="shared" si="7"/>
        <v>103108988.2943</v>
      </c>
      <c r="AB14" s="7">
        <f t="shared" si="7"/>
        <v>111331617.79625</v>
      </c>
      <c r="AC14" s="7">
        <f t="shared" si="7"/>
        <v>121097740.77785</v>
      </c>
      <c r="AD14" s="7">
        <f t="shared" si="7"/>
        <v>125363471.49284999</v>
      </c>
      <c r="AE14" s="7">
        <f t="shared" si="7"/>
        <v>120028564.07759999</v>
      </c>
      <c r="AF14" s="7">
        <f t="shared" si="7"/>
        <v>121320034.38294999</v>
      </c>
      <c r="AG14" s="7">
        <f t="shared" si="7"/>
        <v>123140735.34635</v>
      </c>
      <c r="AH14" s="7">
        <f t="shared" si="7"/>
        <v>125175295.76315002</v>
      </c>
      <c r="AI14" s="7">
        <f t="shared" si="7"/>
        <v>139629042.09619999</v>
      </c>
      <c r="AJ14" s="7">
        <f t="shared" si="7"/>
        <v>161042687.68209997</v>
      </c>
      <c r="AK14" s="7">
        <f t="shared" si="7"/>
        <v>179333389.69675002</v>
      </c>
      <c r="AL14" s="7">
        <f t="shared" si="7"/>
        <v>212350021.87009999</v>
      </c>
      <c r="AM14" s="7">
        <f>SUM(AM6:AM13)</f>
        <v>201258894.08344999</v>
      </c>
      <c r="AN14" s="7">
        <f>SUM(AN6:AN13)</f>
        <v>195313385.94440001</v>
      </c>
      <c r="AO14" s="7" t="s">
        <v>429</v>
      </c>
      <c r="AP14" s="7" t="s">
        <v>429</v>
      </c>
      <c r="AQ14" s="7" t="s">
        <v>429</v>
      </c>
      <c r="AR14" s="7" t="s">
        <v>429</v>
      </c>
      <c r="AS14" s="7" t="s">
        <v>429</v>
      </c>
      <c r="AT14" s="7" t="s">
        <v>429</v>
      </c>
      <c r="AU14" s="7" t="s">
        <v>429</v>
      </c>
      <c r="AV14" s="7" t="e">
        <f>SUM(AV7:AV13)</f>
        <v>#VALUE!</v>
      </c>
      <c r="AW14" s="7" t="e">
        <f>SUM(AW7:AW13)</f>
        <v>#VALUE!</v>
      </c>
      <c r="AX14" s="275"/>
      <c r="AY14" s="86"/>
    </row>
    <row r="15" spans="1:53" s="29" customFormat="1" ht="15" customHeight="1" x14ac:dyDescent="0.25">
      <c r="A15" s="59" t="s">
        <v>725</v>
      </c>
      <c r="B15" s="23"/>
      <c r="C15" s="228"/>
      <c r="D15" s="7">
        <f>SUM(D7:D10)</f>
        <v>23365608.159785699</v>
      </c>
      <c r="E15" s="7">
        <f t="shared" ref="E15:AW15" si="8">SUM(E7:E10)</f>
        <v>33185603.662042066</v>
      </c>
      <c r="F15" s="7">
        <f t="shared" si="8"/>
        <v>31716929.386102363</v>
      </c>
      <c r="G15" s="7">
        <f t="shared" si="8"/>
        <v>26050559.04533726</v>
      </c>
      <c r="H15" s="7">
        <f t="shared" si="8"/>
        <v>49220032.458459988</v>
      </c>
      <c r="I15" s="7">
        <f t="shared" si="8"/>
        <v>61400396.996816039</v>
      </c>
      <c r="J15" s="7">
        <f t="shared" si="8"/>
        <v>73203518.158222958</v>
      </c>
      <c r="K15" s="7">
        <f t="shared" si="8"/>
        <v>38881129.38639573</v>
      </c>
      <c r="L15" s="7">
        <f t="shared" si="8"/>
        <v>35071313.93696744</v>
      </c>
      <c r="M15" s="7">
        <f t="shared" si="8"/>
        <v>30239414.884268042</v>
      </c>
      <c r="N15" s="7">
        <f t="shared" si="8"/>
        <v>17869677.672893479</v>
      </c>
      <c r="O15" s="7">
        <f t="shared" si="8"/>
        <v>16885535.431443632</v>
      </c>
      <c r="P15" s="7">
        <f t="shared" si="8"/>
        <v>42518210.169433311</v>
      </c>
      <c r="Q15" s="7">
        <f t="shared" si="8"/>
        <v>76028975.447318569</v>
      </c>
      <c r="R15" s="7">
        <f t="shared" si="8"/>
        <v>25142323.891388472</v>
      </c>
      <c r="S15" s="7">
        <f t="shared" si="8"/>
        <v>23736842.254214481</v>
      </c>
      <c r="T15" s="7">
        <f t="shared" si="8"/>
        <v>6807856.1325415215</v>
      </c>
      <c r="U15" s="7">
        <f t="shared" si="8"/>
        <v>6441307.7296920009</v>
      </c>
      <c r="V15" s="7">
        <f t="shared" si="8"/>
        <v>5716524.1752499994</v>
      </c>
      <c r="W15" s="7">
        <f t="shared" si="8"/>
        <v>62654111.671849996</v>
      </c>
      <c r="X15" s="7">
        <f t="shared" si="8"/>
        <v>74915690.927549988</v>
      </c>
      <c r="Y15" s="7">
        <f t="shared" si="8"/>
        <v>100405063.2702</v>
      </c>
      <c r="Z15" s="7">
        <f t="shared" si="8"/>
        <v>95573082.460299999</v>
      </c>
      <c r="AA15" s="7">
        <f t="shared" si="8"/>
        <v>102461606.0643</v>
      </c>
      <c r="AB15" s="7">
        <f t="shared" si="8"/>
        <v>110477098.18625</v>
      </c>
      <c r="AC15" s="7">
        <f t="shared" si="8"/>
        <v>119893975.86785001</v>
      </c>
      <c r="AD15" s="7">
        <f t="shared" si="8"/>
        <v>123532880.23284999</v>
      </c>
      <c r="AE15" s="7">
        <f t="shared" si="8"/>
        <v>119170852.80759999</v>
      </c>
      <c r="AF15" s="7">
        <f t="shared" si="8"/>
        <v>120539341.06295</v>
      </c>
      <c r="AG15" s="7">
        <f t="shared" si="8"/>
        <v>122613249.80634999</v>
      </c>
      <c r="AH15" s="7">
        <f t="shared" si="8"/>
        <v>124755542.56315002</v>
      </c>
      <c r="AI15" s="7">
        <f t="shared" si="8"/>
        <v>138380206.47619998</v>
      </c>
      <c r="AJ15" s="7">
        <f t="shared" si="8"/>
        <v>160156132.76209998</v>
      </c>
      <c r="AK15" s="7">
        <f t="shared" si="8"/>
        <v>178227759.08675</v>
      </c>
      <c r="AL15" s="7">
        <f t="shared" si="8"/>
        <v>210932042.6701</v>
      </c>
      <c r="AM15" s="7">
        <f t="shared" si="8"/>
        <v>199859618.42344999</v>
      </c>
      <c r="AN15" s="7">
        <f t="shared" si="8"/>
        <v>195176229.44440001</v>
      </c>
      <c r="AO15" s="7" t="s">
        <v>429</v>
      </c>
      <c r="AP15" s="7" t="s">
        <v>429</v>
      </c>
      <c r="AQ15" s="7" t="s">
        <v>429</v>
      </c>
      <c r="AR15" s="7" t="s">
        <v>429</v>
      </c>
      <c r="AS15" s="7" t="s">
        <v>429</v>
      </c>
      <c r="AT15" s="7" t="s">
        <v>429</v>
      </c>
      <c r="AU15" s="7" t="s">
        <v>429</v>
      </c>
      <c r="AV15" s="7" t="e">
        <f t="shared" si="8"/>
        <v>#VALUE!</v>
      </c>
      <c r="AW15" s="7" t="e">
        <f t="shared" si="8"/>
        <v>#VALUE!</v>
      </c>
      <c r="AX15" s="275"/>
      <c r="AY15" s="86"/>
    </row>
    <row r="16" spans="1:53" s="29" customFormat="1" ht="15" customHeight="1" x14ac:dyDescent="0.25">
      <c r="A16" s="59"/>
      <c r="B16" s="23"/>
      <c r="C16" s="229"/>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75"/>
      <c r="AY16" s="86"/>
    </row>
    <row r="17" spans="1:51" s="29" customFormat="1" ht="15" customHeight="1" x14ac:dyDescent="0.25">
      <c r="A17" s="59" t="s">
        <v>13</v>
      </c>
      <c r="B17" s="23"/>
      <c r="C17" s="229"/>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7"/>
      <c r="AX17" s="275"/>
      <c r="AY17" s="86"/>
    </row>
    <row r="18" spans="1:51" s="29" customFormat="1" ht="15" customHeight="1" x14ac:dyDescent="0.25">
      <c r="A18" s="201" t="s">
        <v>249</v>
      </c>
      <c r="B18" s="23"/>
      <c r="C18" s="229"/>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7"/>
      <c r="AX18" s="275"/>
      <c r="AY18" s="86"/>
    </row>
    <row r="19" spans="1:51" s="29" customFormat="1" ht="15" customHeight="1" x14ac:dyDescent="0.25">
      <c r="A19" s="201"/>
      <c r="B19" s="191" t="s">
        <v>672</v>
      </c>
      <c r="C19" s="229"/>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5">
        <v>764000000</v>
      </c>
      <c r="AV19" s="241"/>
      <c r="AW19" s="7"/>
      <c r="AX19" s="275"/>
      <c r="AY19" s="86"/>
    </row>
    <row r="20" spans="1:51" s="89" customFormat="1" ht="15" customHeight="1" x14ac:dyDescent="0.25">
      <c r="A20" s="201"/>
      <c r="B20" s="201" t="s">
        <v>668</v>
      </c>
      <c r="C20" s="229"/>
      <c r="D20" s="211">
        <v>6000000</v>
      </c>
      <c r="E20" s="211">
        <v>10444230</v>
      </c>
      <c r="F20" s="211">
        <v>13231374.5</v>
      </c>
      <c r="G20" s="211">
        <v>21540708</v>
      </c>
      <c r="H20" s="135">
        <v>18883699</v>
      </c>
      <c r="I20" s="211">
        <v>22797454</v>
      </c>
      <c r="J20" s="211">
        <v>26041840</v>
      </c>
      <c r="K20" s="211">
        <v>25804534</v>
      </c>
      <c r="L20" s="211">
        <v>26788055.5</v>
      </c>
      <c r="M20" s="211">
        <v>28188662</v>
      </c>
      <c r="N20" s="211">
        <v>30025914</v>
      </c>
      <c r="O20" s="211">
        <v>29286856</v>
      </c>
      <c r="P20" s="211">
        <v>41775333</v>
      </c>
      <c r="Q20" s="211">
        <v>69511699</v>
      </c>
      <c r="R20" s="211">
        <v>95112523</v>
      </c>
      <c r="S20" s="211">
        <v>99529635</v>
      </c>
      <c r="T20" s="211">
        <v>66475215</v>
      </c>
      <c r="U20" s="211">
        <v>39611616.299999997</v>
      </c>
      <c r="V20" s="211">
        <v>36038354</v>
      </c>
      <c r="W20" s="211">
        <v>49470183</v>
      </c>
      <c r="X20" s="211">
        <v>62853582</v>
      </c>
      <c r="Y20" s="211">
        <v>71646912</v>
      </c>
      <c r="Z20" s="211">
        <v>66482914</v>
      </c>
      <c r="AA20" s="211">
        <v>75557456</v>
      </c>
      <c r="AB20" s="211">
        <v>84053032</v>
      </c>
      <c r="AC20" s="211">
        <v>83378320</v>
      </c>
      <c r="AD20" s="211">
        <v>71195566</v>
      </c>
      <c r="AE20" s="211">
        <v>64781483</v>
      </c>
      <c r="AF20" s="211">
        <v>54353268</v>
      </c>
      <c r="AG20" s="211">
        <v>66325056</v>
      </c>
      <c r="AH20" s="211">
        <v>68780395</v>
      </c>
      <c r="AI20" s="211">
        <v>86548756</v>
      </c>
      <c r="AJ20" s="211">
        <v>108245557</v>
      </c>
      <c r="AK20" s="211">
        <v>127609788</v>
      </c>
      <c r="AL20" s="211">
        <v>174399322</v>
      </c>
      <c r="AM20" s="135">
        <v>162078886</v>
      </c>
      <c r="AN20" s="211">
        <v>155463462</v>
      </c>
      <c r="AO20" s="211">
        <v>155800000</v>
      </c>
      <c r="AP20" s="25" t="s">
        <v>429</v>
      </c>
      <c r="AQ20" s="25" t="s">
        <v>429</v>
      </c>
      <c r="AR20" s="25" t="s">
        <v>429</v>
      </c>
      <c r="AS20" s="25" t="s">
        <v>429</v>
      </c>
      <c r="AT20" s="126">
        <v>680528926</v>
      </c>
      <c r="AU20" s="126"/>
      <c r="AV20" s="135">
        <v>762147712</v>
      </c>
      <c r="AW20" s="211">
        <v>818500000</v>
      </c>
      <c r="AX20" s="274"/>
      <c r="AY20" s="91"/>
    </row>
    <row r="21" spans="1:51" s="89" customFormat="1" ht="15" customHeight="1" x14ac:dyDescent="0.25">
      <c r="A21" s="201"/>
      <c r="B21" s="201" t="s">
        <v>667</v>
      </c>
      <c r="C21" s="229"/>
      <c r="D21" s="34">
        <v>3057127</v>
      </c>
      <c r="E21" s="34">
        <v>17716437</v>
      </c>
      <c r="F21" s="6">
        <v>16799037.100000001</v>
      </c>
      <c r="G21" s="6">
        <v>22785860.25</v>
      </c>
      <c r="H21" s="6">
        <v>19811012.039999999</v>
      </c>
      <c r="I21" s="6">
        <v>18532024.59</v>
      </c>
      <c r="J21" s="6">
        <v>20674773.809999999</v>
      </c>
      <c r="K21" s="6">
        <v>19050704.390000001</v>
      </c>
      <c r="L21" s="6">
        <v>19819923.350000001</v>
      </c>
      <c r="M21" s="6">
        <v>18412206.920000002</v>
      </c>
      <c r="N21" s="6">
        <v>17144331.93</v>
      </c>
      <c r="O21" s="6">
        <v>16693915.76</v>
      </c>
      <c r="P21" s="6">
        <v>19442528.539999999</v>
      </c>
      <c r="Q21" s="6">
        <v>22931257.07</v>
      </c>
      <c r="R21" s="6">
        <v>25669147.879999999</v>
      </c>
      <c r="S21" s="6">
        <v>24178945.010000002</v>
      </c>
      <c r="T21" s="6">
        <v>24745082.68</v>
      </c>
      <c r="U21" s="6">
        <v>21812451.850000001</v>
      </c>
      <c r="V21" s="6">
        <v>19787533.495000001</v>
      </c>
      <c r="W21" s="6">
        <v>19590313.550000001</v>
      </c>
      <c r="X21" s="6">
        <v>19822339.489999998</v>
      </c>
      <c r="Y21" s="6">
        <v>20933676.585000001</v>
      </c>
      <c r="Z21" s="6">
        <v>21150672.024999999</v>
      </c>
      <c r="AA21" s="6">
        <v>21210934.425000001</v>
      </c>
      <c r="AB21" s="6">
        <v>21673280.545000002</v>
      </c>
      <c r="AC21" s="6">
        <v>21580649.565000001</v>
      </c>
      <c r="AD21" s="6">
        <v>20418479.315000001</v>
      </c>
      <c r="AE21" s="6">
        <v>18940439.170000002</v>
      </c>
      <c r="AF21" s="6">
        <v>17855195.030000001</v>
      </c>
      <c r="AG21" s="6">
        <v>18029982.59</v>
      </c>
      <c r="AH21" s="6">
        <v>18349110.07</v>
      </c>
      <c r="AI21" s="6">
        <v>18770541.649999999</v>
      </c>
      <c r="AJ21" s="6">
        <v>19832398.949999999</v>
      </c>
      <c r="AK21" s="6">
        <v>22202645.920000002</v>
      </c>
      <c r="AL21" s="6">
        <v>22562309.57</v>
      </c>
      <c r="AM21" s="6">
        <v>22990914.629999995</v>
      </c>
      <c r="AN21" s="6">
        <v>22765947.91</v>
      </c>
      <c r="AO21" s="62">
        <v>22543536</v>
      </c>
      <c r="AP21" s="25" t="s">
        <v>429</v>
      </c>
      <c r="AQ21" s="25" t="s">
        <v>429</v>
      </c>
      <c r="AR21" s="25" t="s">
        <v>429</v>
      </c>
      <c r="AS21" s="25" t="s">
        <v>429</v>
      </c>
      <c r="AT21" s="62">
        <v>69857733.849999994</v>
      </c>
      <c r="AU21" s="62"/>
      <c r="AV21" s="57">
        <v>80183060.599999994</v>
      </c>
      <c r="AW21" s="25">
        <v>73200000</v>
      </c>
      <c r="AX21" s="274"/>
      <c r="AY21" s="91"/>
    </row>
    <row r="22" spans="1:51" s="89" customFormat="1" ht="15" customHeight="1" x14ac:dyDescent="0.25">
      <c r="A22" s="201"/>
      <c r="B22" s="201" t="s">
        <v>635</v>
      </c>
      <c r="C22" s="229"/>
      <c r="D22" s="25">
        <f>SUM(D130:D131,D189:D194,D223:D231)</f>
        <v>0</v>
      </c>
      <c r="E22" s="25">
        <f t="shared" ref="E22:AO22" si="9">SUM(E130:E131,E189:E194,E223:E231)</f>
        <v>0</v>
      </c>
      <c r="F22" s="25">
        <f t="shared" si="9"/>
        <v>0</v>
      </c>
      <c r="G22" s="25">
        <f t="shared" si="9"/>
        <v>0</v>
      </c>
      <c r="H22" s="25">
        <f t="shared" si="9"/>
        <v>0</v>
      </c>
      <c r="I22" s="25">
        <f t="shared" si="9"/>
        <v>0</v>
      </c>
      <c r="J22" s="25">
        <f t="shared" si="9"/>
        <v>0</v>
      </c>
      <c r="K22" s="25">
        <f t="shared" si="9"/>
        <v>0</v>
      </c>
      <c r="L22" s="25">
        <f t="shared" si="9"/>
        <v>0</v>
      </c>
      <c r="M22" s="25">
        <f t="shared" si="9"/>
        <v>0</v>
      </c>
      <c r="N22" s="25">
        <f t="shared" si="9"/>
        <v>0</v>
      </c>
      <c r="O22" s="25">
        <f t="shared" si="9"/>
        <v>0</v>
      </c>
      <c r="P22" s="25">
        <f t="shared" si="9"/>
        <v>0</v>
      </c>
      <c r="Q22" s="25">
        <f t="shared" si="9"/>
        <v>0</v>
      </c>
      <c r="R22" s="25">
        <f t="shared" si="9"/>
        <v>7905046</v>
      </c>
      <c r="S22" s="25">
        <f t="shared" si="9"/>
        <v>20000000</v>
      </c>
      <c r="T22" s="25">
        <f t="shared" si="9"/>
        <v>20000000</v>
      </c>
      <c r="U22" s="25">
        <f t="shared" si="9"/>
        <v>20000000</v>
      </c>
      <c r="V22" s="25">
        <f t="shared" si="9"/>
        <v>0</v>
      </c>
      <c r="W22" s="25">
        <f t="shared" si="9"/>
        <v>-400</v>
      </c>
      <c r="X22" s="25">
        <f t="shared" si="9"/>
        <v>-0.19</v>
      </c>
      <c r="Y22" s="25">
        <f t="shared" si="9"/>
        <v>-50842.82</v>
      </c>
      <c r="Z22" s="25">
        <f t="shared" si="9"/>
        <v>-4872.2700000000004</v>
      </c>
      <c r="AA22" s="25">
        <f t="shared" si="9"/>
        <v>-3629.38</v>
      </c>
      <c r="AB22" s="25">
        <f t="shared" si="9"/>
        <v>-6227.63</v>
      </c>
      <c r="AC22" s="25">
        <f t="shared" si="9"/>
        <v>-3043.45</v>
      </c>
      <c r="AD22" s="25">
        <f t="shared" si="9"/>
        <v>-6134.7199999988079</v>
      </c>
      <c r="AE22" s="25">
        <f t="shared" si="9"/>
        <v>-7379.9</v>
      </c>
      <c r="AF22" s="25">
        <f t="shared" si="9"/>
        <v>-1498.36</v>
      </c>
      <c r="AG22" s="25">
        <f t="shared" si="9"/>
        <v>-10689.64</v>
      </c>
      <c r="AH22" s="25">
        <f t="shared" si="9"/>
        <v>-4972.63</v>
      </c>
      <c r="AI22" s="25">
        <f t="shared" si="9"/>
        <v>-1608.26</v>
      </c>
      <c r="AJ22" s="25">
        <f t="shared" si="9"/>
        <v>-1361.78</v>
      </c>
      <c r="AK22" s="25">
        <f t="shared" si="9"/>
        <v>-118421.54000000001</v>
      </c>
      <c r="AL22" s="25">
        <f t="shared" si="9"/>
        <v>-274629.39</v>
      </c>
      <c r="AM22" s="25">
        <f t="shared" si="9"/>
        <v>-248954.42</v>
      </c>
      <c r="AN22" s="25">
        <f t="shared" si="9"/>
        <v>-503969.79000000004</v>
      </c>
      <c r="AO22" s="25">
        <f t="shared" si="9"/>
        <v>0</v>
      </c>
      <c r="AP22" s="25" t="s">
        <v>429</v>
      </c>
      <c r="AQ22" s="25" t="s">
        <v>429</v>
      </c>
      <c r="AR22" s="25" t="s">
        <v>429</v>
      </c>
      <c r="AS22" s="25" t="s">
        <v>429</v>
      </c>
      <c r="AT22" s="25">
        <f t="shared" ref="AT22:AW22" si="10">SUM(AT130:AT131,AT189:AT194,AT223:AT231)</f>
        <v>0</v>
      </c>
      <c r="AU22" s="25">
        <f t="shared" si="10"/>
        <v>0</v>
      </c>
      <c r="AV22" s="25">
        <f t="shared" si="10"/>
        <v>1744072.1500000001</v>
      </c>
      <c r="AW22" s="25">
        <f t="shared" si="10"/>
        <v>1361581.1199999999</v>
      </c>
      <c r="AX22" s="274"/>
      <c r="AY22" s="91"/>
    </row>
    <row r="23" spans="1:51" s="89" customFormat="1" ht="15" customHeight="1" x14ac:dyDescent="0.25">
      <c r="A23" s="201" t="s">
        <v>250</v>
      </c>
      <c r="B23" s="31"/>
      <c r="C23" s="229"/>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t="s">
        <v>429</v>
      </c>
      <c r="AQ23" s="25" t="s">
        <v>429</v>
      </c>
      <c r="AR23" s="25" t="s">
        <v>429</v>
      </c>
      <c r="AS23" s="25" t="s">
        <v>429</v>
      </c>
      <c r="AT23" s="25">
        <v>0</v>
      </c>
      <c r="AU23" s="25">
        <v>0</v>
      </c>
      <c r="AV23" s="25">
        <v>0</v>
      </c>
      <c r="AW23" s="25">
        <v>0</v>
      </c>
      <c r="AX23" s="274"/>
      <c r="AY23" s="91"/>
    </row>
    <row r="24" spans="1:51" s="89" customFormat="1" ht="15" customHeight="1" x14ac:dyDescent="0.25">
      <c r="A24" s="201" t="s">
        <v>125</v>
      </c>
      <c r="B24" s="31"/>
      <c r="C24" s="229"/>
      <c r="D24" s="25">
        <f t="shared" ref="D24:AN24" si="11">D14-SUM(D20:D23)</f>
        <v>14308481.159785699</v>
      </c>
      <c r="E24" s="25">
        <f t="shared" si="11"/>
        <v>5024936.6620420665</v>
      </c>
      <c r="F24" s="25">
        <f t="shared" si="11"/>
        <v>1686517.786102362</v>
      </c>
      <c r="G24" s="25">
        <f t="shared" si="11"/>
        <v>-18275257.664662741</v>
      </c>
      <c r="H24" s="25">
        <f t="shared" si="11"/>
        <v>10525321.418459989</v>
      </c>
      <c r="I24" s="25">
        <f t="shared" si="11"/>
        <v>23086257.256816037</v>
      </c>
      <c r="J24" s="25">
        <f t="shared" si="11"/>
        <v>31616132.418222964</v>
      </c>
      <c r="K24" s="25">
        <f t="shared" si="11"/>
        <v>-782651.09360427409</v>
      </c>
      <c r="L24" s="25">
        <f t="shared" si="11"/>
        <v>-1301448.5530325621</v>
      </c>
      <c r="M24" s="25">
        <f t="shared" si="11"/>
        <v>-7336396.115731962</v>
      </c>
      <c r="N24" s="25">
        <f t="shared" si="11"/>
        <v>-16349344.84710652</v>
      </c>
      <c r="O24" s="25">
        <f t="shared" si="11"/>
        <v>-12449364.078556366</v>
      </c>
      <c r="P24" s="25">
        <f t="shared" si="11"/>
        <v>7809844.7594333068</v>
      </c>
      <c r="Q24" s="25">
        <f t="shared" si="11"/>
        <v>28139296.357318565</v>
      </c>
      <c r="R24" s="25">
        <f t="shared" si="11"/>
        <v>-15294759.538611516</v>
      </c>
      <c r="S24" s="25">
        <f t="shared" si="11"/>
        <v>-41125745.885785505</v>
      </c>
      <c r="T24" s="25">
        <f t="shared" si="11"/>
        <v>-26943244.41745849</v>
      </c>
      <c r="U24" s="25">
        <f t="shared" si="11"/>
        <v>-74891590.690308005</v>
      </c>
      <c r="V24" s="25">
        <f t="shared" si="11"/>
        <v>-50098589.569750004</v>
      </c>
      <c r="W24" s="25">
        <f t="shared" si="11"/>
        <v>-6413508.2781499997</v>
      </c>
      <c r="X24" s="25">
        <f t="shared" si="11"/>
        <v>-7335943.5924500078</v>
      </c>
      <c r="Y24" s="25">
        <f t="shared" si="11"/>
        <v>8318608.3051999807</v>
      </c>
      <c r="Z24" s="25">
        <f t="shared" si="11"/>
        <v>8559493.0052999854</v>
      </c>
      <c r="AA24" s="25">
        <f t="shared" si="11"/>
        <v>6344227.2493000031</v>
      </c>
      <c r="AB24" s="25">
        <f t="shared" si="11"/>
        <v>5611532.881249994</v>
      </c>
      <c r="AC24" s="25">
        <f t="shared" si="11"/>
        <v>16141814.662850007</v>
      </c>
      <c r="AD24" s="25">
        <f t="shared" si="11"/>
        <v>33755560.897849992</v>
      </c>
      <c r="AE24" s="25">
        <f t="shared" si="11"/>
        <v>36314021.807599992</v>
      </c>
      <c r="AF24" s="25">
        <f t="shared" si="11"/>
        <v>49113069.712949991</v>
      </c>
      <c r="AG24" s="25">
        <f t="shared" si="11"/>
        <v>38796386.396349996</v>
      </c>
      <c r="AH24" s="25">
        <f t="shared" si="11"/>
        <v>38050763.323150024</v>
      </c>
      <c r="AI24" s="25">
        <f t="shared" si="11"/>
        <v>34311352.706199989</v>
      </c>
      <c r="AJ24" s="25">
        <f t="shared" si="11"/>
        <v>32966093.512099966</v>
      </c>
      <c r="AK24" s="25">
        <f t="shared" si="11"/>
        <v>29639377.31674999</v>
      </c>
      <c r="AL24" s="25">
        <f t="shared" si="11"/>
        <v>15663019.690099984</v>
      </c>
      <c r="AM24" s="25">
        <f t="shared" si="11"/>
        <v>16438047.873449981</v>
      </c>
      <c r="AN24" s="25">
        <f t="shared" si="11"/>
        <v>17587945.824400008</v>
      </c>
      <c r="AO24" s="25" t="s">
        <v>429</v>
      </c>
      <c r="AP24" s="25" t="s">
        <v>429</v>
      </c>
      <c r="AQ24" s="25" t="s">
        <v>429</v>
      </c>
      <c r="AR24" s="25" t="s">
        <v>429</v>
      </c>
      <c r="AS24" s="25" t="s">
        <v>429</v>
      </c>
      <c r="AT24" s="25" t="e">
        <f>AT14-SUM(AT20:AT23)</f>
        <v>#VALUE!</v>
      </c>
      <c r="AU24" s="25" t="e">
        <f>AU14-SUM(AU20:AU23)</f>
        <v>#VALUE!</v>
      </c>
      <c r="AV24" s="25" t="e">
        <f>AV14-SUM(AV20:AV23)</f>
        <v>#VALUE!</v>
      </c>
      <c r="AW24" s="25" t="e">
        <f>AW14-SUM(AW20:AW23)</f>
        <v>#VALUE!</v>
      </c>
      <c r="AX24" s="274"/>
      <c r="AY24" s="91"/>
    </row>
    <row r="25" spans="1:51" s="89" customFormat="1" ht="15" customHeight="1" x14ac:dyDescent="0.25">
      <c r="A25" s="59" t="s">
        <v>115</v>
      </c>
      <c r="B25" s="191"/>
      <c r="C25" s="229"/>
      <c r="D25" s="7">
        <f>SUM(D19:D23)</f>
        <v>9057127</v>
      </c>
      <c r="E25" s="7">
        <f t="shared" ref="E25:AW25" si="12">SUM(E19:E23)</f>
        <v>28160667</v>
      </c>
      <c r="F25" s="7">
        <f t="shared" si="12"/>
        <v>30030411.600000001</v>
      </c>
      <c r="G25" s="7">
        <f t="shared" si="12"/>
        <v>44326568.25</v>
      </c>
      <c r="H25" s="7">
        <f t="shared" si="12"/>
        <v>38694711.039999999</v>
      </c>
      <c r="I25" s="7">
        <f t="shared" si="12"/>
        <v>41329478.590000004</v>
      </c>
      <c r="J25" s="7">
        <f t="shared" si="12"/>
        <v>46716613.810000002</v>
      </c>
      <c r="K25" s="7">
        <f t="shared" si="12"/>
        <v>44855238.390000001</v>
      </c>
      <c r="L25" s="7">
        <f t="shared" si="12"/>
        <v>46607978.850000001</v>
      </c>
      <c r="M25" s="7">
        <f t="shared" si="12"/>
        <v>46600868.920000002</v>
      </c>
      <c r="N25" s="7">
        <f t="shared" si="12"/>
        <v>47170245.93</v>
      </c>
      <c r="O25" s="7">
        <f t="shared" si="12"/>
        <v>45980771.759999998</v>
      </c>
      <c r="P25" s="7">
        <f t="shared" si="12"/>
        <v>61217861.539999999</v>
      </c>
      <c r="Q25" s="7">
        <f t="shared" si="12"/>
        <v>92442956.069999993</v>
      </c>
      <c r="R25" s="7">
        <f t="shared" si="12"/>
        <v>128686716.88</v>
      </c>
      <c r="S25" s="7">
        <f t="shared" si="12"/>
        <v>143708580.00999999</v>
      </c>
      <c r="T25" s="7">
        <f t="shared" si="12"/>
        <v>111220297.68000001</v>
      </c>
      <c r="U25" s="7">
        <f t="shared" si="12"/>
        <v>81424068.150000006</v>
      </c>
      <c r="V25" s="7">
        <f t="shared" si="12"/>
        <v>55825887.495000005</v>
      </c>
      <c r="W25" s="7">
        <f t="shared" si="12"/>
        <v>69060096.549999997</v>
      </c>
      <c r="X25" s="7">
        <f t="shared" si="12"/>
        <v>82675921.299999997</v>
      </c>
      <c r="Y25" s="7">
        <f t="shared" si="12"/>
        <v>92529745.765000015</v>
      </c>
      <c r="Z25" s="7">
        <f t="shared" si="12"/>
        <v>87628713.75500001</v>
      </c>
      <c r="AA25" s="7">
        <f t="shared" si="12"/>
        <v>96764761.045000002</v>
      </c>
      <c r="AB25" s="7">
        <f t="shared" si="12"/>
        <v>105720084.91500001</v>
      </c>
      <c r="AC25" s="7">
        <f t="shared" si="12"/>
        <v>104955926.11499999</v>
      </c>
      <c r="AD25" s="7">
        <f t="shared" si="12"/>
        <v>91607910.594999999</v>
      </c>
      <c r="AE25" s="7">
        <f t="shared" si="12"/>
        <v>83714542.269999996</v>
      </c>
      <c r="AF25" s="7">
        <f t="shared" si="12"/>
        <v>72206964.670000002</v>
      </c>
      <c r="AG25" s="7">
        <f t="shared" si="12"/>
        <v>84344348.950000003</v>
      </c>
      <c r="AH25" s="7">
        <f t="shared" si="12"/>
        <v>87124532.439999998</v>
      </c>
      <c r="AI25" s="7">
        <f t="shared" si="12"/>
        <v>105317689.39</v>
      </c>
      <c r="AJ25" s="7">
        <f t="shared" si="12"/>
        <v>128076594.17</v>
      </c>
      <c r="AK25" s="7">
        <f t="shared" si="12"/>
        <v>149694012.38000003</v>
      </c>
      <c r="AL25" s="7">
        <f t="shared" si="12"/>
        <v>196687002.18000001</v>
      </c>
      <c r="AM25" s="7">
        <f t="shared" si="12"/>
        <v>184820846.21000001</v>
      </c>
      <c r="AN25" s="7">
        <f t="shared" si="12"/>
        <v>177725440.12</v>
      </c>
      <c r="AO25" s="7">
        <f t="shared" si="12"/>
        <v>178343536</v>
      </c>
      <c r="AP25" s="7" t="s">
        <v>429</v>
      </c>
      <c r="AQ25" s="7" t="s">
        <v>429</v>
      </c>
      <c r="AR25" s="7" t="s">
        <v>429</v>
      </c>
      <c r="AS25" s="7" t="s">
        <v>429</v>
      </c>
      <c r="AT25" s="7">
        <f t="shared" si="12"/>
        <v>750386659.85000002</v>
      </c>
      <c r="AU25" s="7">
        <f t="shared" si="12"/>
        <v>764000000</v>
      </c>
      <c r="AV25" s="7">
        <f t="shared" si="12"/>
        <v>844074844.75</v>
      </c>
      <c r="AW25" s="7">
        <f t="shared" si="12"/>
        <v>893061581.12</v>
      </c>
      <c r="AX25" s="274"/>
      <c r="AY25" s="91"/>
    </row>
    <row r="26" spans="1:51" s="89" customFormat="1" ht="15" customHeight="1" x14ac:dyDescent="0.25">
      <c r="A26" s="201"/>
      <c r="B26" s="31"/>
      <c r="C26" s="229"/>
      <c r="D26" s="239"/>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6"/>
      <c r="AN26" s="240"/>
      <c r="AO26" s="240"/>
      <c r="AP26" s="240"/>
      <c r="AQ26" s="240"/>
      <c r="AR26" s="240"/>
      <c r="AS26" s="240"/>
      <c r="AT26" s="240"/>
      <c r="AU26" s="240"/>
      <c r="AV26" s="240"/>
      <c r="AW26" s="240"/>
      <c r="AX26" s="274"/>
      <c r="AY26" s="91"/>
    </row>
    <row r="27" spans="1:51" s="89" customFormat="1" ht="15" customHeight="1" x14ac:dyDescent="0.25">
      <c r="A27" s="59" t="s">
        <v>239</v>
      </c>
      <c r="B27" s="31"/>
      <c r="C27" s="229"/>
      <c r="D27" s="239"/>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74"/>
      <c r="AY27" s="91"/>
    </row>
    <row r="28" spans="1:51" s="89" customFormat="1" ht="15" customHeight="1" x14ac:dyDescent="0.25">
      <c r="A28" s="59"/>
      <c r="B28" s="191"/>
      <c r="C28" s="229"/>
      <c r="D28" s="239"/>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74"/>
      <c r="AY28" s="91"/>
    </row>
    <row r="29" spans="1:51" s="89" customFormat="1" ht="15" customHeight="1" x14ac:dyDescent="0.25">
      <c r="A29" s="201" t="s">
        <v>719</v>
      </c>
      <c r="B29" s="191"/>
      <c r="C29" s="229"/>
      <c r="D29" s="211">
        <v>19829520</v>
      </c>
      <c r="E29" s="211">
        <v>31955520</v>
      </c>
      <c r="F29" s="211">
        <v>33685501.799999997</v>
      </c>
      <c r="G29" s="211">
        <v>31020501.800000001</v>
      </c>
      <c r="H29" s="212">
        <v>32278674.799999997</v>
      </c>
      <c r="I29" s="212">
        <v>46488109.870000005</v>
      </c>
      <c r="J29" s="212">
        <v>51393071.869999997</v>
      </c>
      <c r="K29" s="212">
        <v>51807081.269999996</v>
      </c>
      <c r="L29" s="135">
        <v>52205575.07</v>
      </c>
      <c r="M29" s="126">
        <v>52483877.770000003</v>
      </c>
      <c r="N29" s="126">
        <v>52731969.869999997</v>
      </c>
      <c r="O29" s="126">
        <v>52912826.07</v>
      </c>
      <c r="P29" s="126">
        <v>38260680.07</v>
      </c>
      <c r="Q29" s="126">
        <v>38496630.920000002</v>
      </c>
      <c r="R29" s="126">
        <v>38732430.920000002</v>
      </c>
      <c r="S29" s="126">
        <v>38732430.920000002</v>
      </c>
      <c r="T29" s="211">
        <v>39107020.049999997</v>
      </c>
      <c r="U29" s="211">
        <v>39686302.909999996</v>
      </c>
      <c r="V29" s="211">
        <v>39721493.909999996</v>
      </c>
      <c r="W29" s="126">
        <v>19590313.549999997</v>
      </c>
      <c r="X29" s="126">
        <v>20267215.899999995</v>
      </c>
      <c r="Y29" s="126">
        <v>21647144.349999998</v>
      </c>
      <c r="Z29" s="126">
        <v>21524374.610000007</v>
      </c>
      <c r="AA29" s="126">
        <v>21831028.279999997</v>
      </c>
      <c r="AB29" s="126">
        <v>21964285.620000001</v>
      </c>
      <c r="AC29" s="126">
        <v>21755119.140000001</v>
      </c>
      <c r="AD29" s="126">
        <v>20878551.479999997</v>
      </c>
      <c r="AE29" s="126">
        <v>19612365.27</v>
      </c>
      <c r="AF29" s="126">
        <v>19226908.73</v>
      </c>
      <c r="AG29" s="126">
        <v>18915077.120000001</v>
      </c>
      <c r="AH29" s="126">
        <v>19054486.239999998</v>
      </c>
      <c r="AI29" s="285">
        <v>21994344.300000004</v>
      </c>
      <c r="AJ29" s="285">
        <v>21252854.099999998</v>
      </c>
      <c r="AK29" s="285">
        <v>19121613.829999998</v>
      </c>
      <c r="AL29" s="285">
        <v>18947359.57</v>
      </c>
      <c r="AM29" s="286"/>
      <c r="AN29" s="285">
        <v>19025349.540000003</v>
      </c>
      <c r="AO29" s="242"/>
      <c r="AP29" s="240"/>
      <c r="AQ29" s="240"/>
      <c r="AR29" s="240"/>
      <c r="AS29" s="240"/>
      <c r="AT29" s="126"/>
      <c r="AU29" s="126"/>
      <c r="AV29" s="126"/>
      <c r="AW29" s="211"/>
      <c r="AX29" s="274"/>
      <c r="AY29" s="91"/>
    </row>
    <row r="30" spans="1:51" s="89" customFormat="1" ht="15" customHeight="1" x14ac:dyDescent="0.25">
      <c r="A30" s="201" t="s">
        <v>712</v>
      </c>
      <c r="B30" s="191"/>
      <c r="C30" s="229"/>
      <c r="D30" s="239"/>
      <c r="E30" s="240"/>
      <c r="F30" s="240"/>
      <c r="G30" s="240"/>
      <c r="H30" s="240"/>
      <c r="I30" s="240"/>
      <c r="J30" s="240"/>
      <c r="K30" s="240"/>
      <c r="L30" s="240"/>
      <c r="M30" s="25"/>
      <c r="N30" s="240"/>
      <c r="O30" s="240"/>
      <c r="P30" s="240"/>
      <c r="Q30" s="240"/>
      <c r="R30" s="211">
        <v>97014296</v>
      </c>
      <c r="S30" s="211">
        <v>100536323</v>
      </c>
      <c r="T30" s="212">
        <v>67533319</v>
      </c>
      <c r="U30" s="211">
        <v>39611616.299999997</v>
      </c>
      <c r="V30" s="211">
        <v>36038354</v>
      </c>
      <c r="W30" s="211">
        <v>61817983</v>
      </c>
      <c r="X30" s="211">
        <v>76442325</v>
      </c>
      <c r="Y30" s="211">
        <v>94595383</v>
      </c>
      <c r="Z30" s="211">
        <v>84788252</v>
      </c>
      <c r="AA30" s="211">
        <v>86669532</v>
      </c>
      <c r="AB30" s="211">
        <v>91975007</v>
      </c>
      <c r="AC30" s="211">
        <v>104475850</v>
      </c>
      <c r="AD30" s="211">
        <v>97922396</v>
      </c>
      <c r="AE30" s="211">
        <v>89134103</v>
      </c>
      <c r="AF30" s="211">
        <v>82295818</v>
      </c>
      <c r="AG30" s="211">
        <v>89036354</v>
      </c>
      <c r="AH30" s="211">
        <v>91223041</v>
      </c>
      <c r="AI30" s="211">
        <v>106369706</v>
      </c>
      <c r="AJ30" s="211">
        <v>132155000</v>
      </c>
      <c r="AK30" s="211">
        <v>145333275</v>
      </c>
      <c r="AL30" s="211">
        <v>174763462</v>
      </c>
      <c r="AM30" s="284"/>
      <c r="AN30" s="211">
        <v>158892607</v>
      </c>
      <c r="AO30" s="211"/>
      <c r="AP30" s="240"/>
      <c r="AQ30" s="240"/>
      <c r="AR30" s="240"/>
      <c r="AS30" s="240"/>
      <c r="AT30" s="240"/>
      <c r="AU30" s="240"/>
      <c r="AV30" s="240"/>
      <c r="AW30" s="240"/>
      <c r="AX30" s="274"/>
      <c r="AY30" s="91"/>
    </row>
    <row r="31" spans="1:51" s="89" customFormat="1" ht="15" customHeight="1" x14ac:dyDescent="0.25">
      <c r="A31" s="201" t="s">
        <v>713</v>
      </c>
      <c r="B31" s="191"/>
      <c r="C31" s="229"/>
      <c r="D31" s="239"/>
      <c r="E31" s="240"/>
      <c r="F31" s="240"/>
      <c r="G31" s="240"/>
      <c r="H31" s="240"/>
      <c r="I31" s="240"/>
      <c r="J31" s="240"/>
      <c r="K31" s="240"/>
      <c r="L31" s="240"/>
      <c r="M31" s="25"/>
      <c r="N31" s="240"/>
      <c r="O31" s="240"/>
      <c r="P31" s="240"/>
      <c r="Q31" s="240"/>
      <c r="R31" s="211"/>
      <c r="S31" s="211"/>
      <c r="T31" s="212"/>
      <c r="U31" s="211">
        <v>20000000</v>
      </c>
      <c r="V31" s="211"/>
      <c r="W31" s="211"/>
      <c r="X31" s="211"/>
      <c r="Y31" s="211"/>
      <c r="Z31" s="211"/>
      <c r="AA31" s="211"/>
      <c r="AB31" s="211"/>
      <c r="AC31" s="211"/>
      <c r="AD31" s="211"/>
      <c r="AE31" s="211"/>
      <c r="AF31" s="211"/>
      <c r="AG31" s="211"/>
      <c r="AH31" s="211"/>
      <c r="AI31" s="211"/>
      <c r="AJ31" s="211"/>
      <c r="AK31" s="211"/>
      <c r="AL31" s="211"/>
      <c r="AM31" s="211"/>
      <c r="AN31" s="211"/>
      <c r="AO31" s="240"/>
      <c r="AP31" s="240"/>
      <c r="AQ31" s="240"/>
      <c r="AR31" s="240"/>
      <c r="AS31" s="240"/>
      <c r="AT31" s="240"/>
      <c r="AU31" s="240"/>
      <c r="AV31" s="240"/>
      <c r="AW31" s="240"/>
      <c r="AX31" s="274"/>
      <c r="AY31" s="91"/>
    </row>
    <row r="32" spans="1:51" s="89" customFormat="1" ht="15" customHeight="1" x14ac:dyDescent="0.25">
      <c r="A32" s="201" t="s">
        <v>714</v>
      </c>
      <c r="B32" s="191"/>
      <c r="C32" s="229"/>
      <c r="D32" s="268">
        <v>0</v>
      </c>
      <c r="E32" s="268">
        <v>0</v>
      </c>
      <c r="F32" s="268">
        <v>0</v>
      </c>
      <c r="G32" s="268">
        <v>0</v>
      </c>
      <c r="H32" s="268">
        <v>0</v>
      </c>
      <c r="I32" s="268">
        <v>0</v>
      </c>
      <c r="J32" s="268">
        <v>0</v>
      </c>
      <c r="K32" s="268">
        <v>0</v>
      </c>
      <c r="L32" s="238">
        <v>0.35</v>
      </c>
      <c r="M32" s="238">
        <v>0.35</v>
      </c>
      <c r="N32" s="238">
        <v>0.35</v>
      </c>
      <c r="O32" s="238">
        <v>0.35</v>
      </c>
      <c r="P32" s="238">
        <v>0.35</v>
      </c>
      <c r="Q32" s="238">
        <v>0.35</v>
      </c>
      <c r="R32" s="238">
        <v>0.15</v>
      </c>
      <c r="S32" s="238">
        <v>0.15</v>
      </c>
      <c r="T32" s="238">
        <v>0.15</v>
      </c>
      <c r="U32" s="238">
        <v>0</v>
      </c>
      <c r="V32" s="238">
        <v>0</v>
      </c>
      <c r="W32" s="238">
        <v>0.15</v>
      </c>
      <c r="X32" s="238">
        <v>0.15</v>
      </c>
      <c r="Y32" s="238">
        <v>0.15</v>
      </c>
      <c r="Z32" s="238">
        <v>0.15</v>
      </c>
      <c r="AA32" s="238">
        <v>0.15</v>
      </c>
      <c r="AB32" s="238">
        <v>0.15</v>
      </c>
      <c r="AC32" s="238">
        <v>0.15</v>
      </c>
      <c r="AD32" s="238">
        <v>0.15</v>
      </c>
      <c r="AE32" s="238">
        <v>0.15</v>
      </c>
      <c r="AF32" s="238">
        <v>0.15</v>
      </c>
      <c r="AG32" s="238">
        <v>0.15</v>
      </c>
      <c r="AH32" s="238">
        <v>0.15</v>
      </c>
      <c r="AI32" s="238">
        <v>0.15</v>
      </c>
      <c r="AJ32" s="238">
        <v>0.15</v>
      </c>
      <c r="AK32" s="238">
        <v>0.15</v>
      </c>
      <c r="AL32" s="238">
        <v>0.15</v>
      </c>
      <c r="AM32" s="238">
        <v>0.15</v>
      </c>
      <c r="AN32" s="238">
        <v>0.15</v>
      </c>
      <c r="AO32" s="238">
        <v>0.15</v>
      </c>
      <c r="AP32" s="238">
        <v>0.15</v>
      </c>
      <c r="AQ32" s="238">
        <v>0.15</v>
      </c>
      <c r="AR32" s="238">
        <v>0.15</v>
      </c>
      <c r="AS32" s="238">
        <v>0.15</v>
      </c>
      <c r="AT32" s="238">
        <v>0.15</v>
      </c>
      <c r="AU32" s="238">
        <v>0.15</v>
      </c>
      <c r="AV32" s="238">
        <v>0.15</v>
      </c>
      <c r="AW32" s="238">
        <v>0.15</v>
      </c>
      <c r="AX32" s="274"/>
      <c r="AY32" s="91"/>
    </row>
    <row r="33" spans="1:51" s="89" customFormat="1" ht="15" customHeight="1" x14ac:dyDescent="0.25">
      <c r="A33" s="201" t="s">
        <v>715</v>
      </c>
      <c r="B33" s="191"/>
      <c r="C33" s="229"/>
      <c r="D33" s="268">
        <v>1</v>
      </c>
      <c r="E33" s="268">
        <v>1</v>
      </c>
      <c r="F33" s="268">
        <v>1</v>
      </c>
      <c r="G33" s="268">
        <v>1</v>
      </c>
      <c r="H33" s="268">
        <v>1</v>
      </c>
      <c r="I33" s="268">
        <v>1</v>
      </c>
      <c r="J33" s="268">
        <v>1</v>
      </c>
      <c r="K33" s="268">
        <v>1</v>
      </c>
      <c r="L33" s="268">
        <v>1</v>
      </c>
      <c r="M33" s="268">
        <v>1</v>
      </c>
      <c r="N33" s="268">
        <v>1</v>
      </c>
      <c r="O33" s="268">
        <v>1</v>
      </c>
      <c r="P33" s="268">
        <v>1</v>
      </c>
      <c r="Q33" s="268">
        <v>1</v>
      </c>
      <c r="R33" s="268">
        <v>1</v>
      </c>
      <c r="S33" s="268">
        <v>1</v>
      </c>
      <c r="T33" s="268">
        <v>1</v>
      </c>
      <c r="U33" s="238">
        <v>0.6</v>
      </c>
      <c r="V33" s="238">
        <v>0.6</v>
      </c>
      <c r="W33" s="238">
        <v>1.1499999999999999</v>
      </c>
      <c r="X33" s="238">
        <v>1.1499999999999999</v>
      </c>
      <c r="Y33" s="238">
        <v>1.1499999999999999</v>
      </c>
      <c r="Z33" s="238">
        <v>1.1499999999999999</v>
      </c>
      <c r="AA33" s="238">
        <v>1.1499999999999999</v>
      </c>
      <c r="AB33" s="238">
        <v>1.1499999999999999</v>
      </c>
      <c r="AC33" s="238">
        <v>1.1499999999999999</v>
      </c>
      <c r="AD33" s="238">
        <v>1.1499999999999999</v>
      </c>
      <c r="AE33" s="238">
        <v>1.1499999999999999</v>
      </c>
      <c r="AF33" s="238">
        <v>1.1499999999999999</v>
      </c>
      <c r="AG33" s="238">
        <v>1.1499999999999999</v>
      </c>
      <c r="AH33" s="238">
        <v>1.1499999999999999</v>
      </c>
      <c r="AI33" s="238">
        <v>1.1499999999999999</v>
      </c>
      <c r="AJ33" s="238">
        <v>1.1499999999999999</v>
      </c>
      <c r="AK33" s="238">
        <v>1.1499999999999999</v>
      </c>
      <c r="AL33" s="238">
        <v>1.1499999999999999</v>
      </c>
      <c r="AM33" s="238">
        <v>1.1499999999999999</v>
      </c>
      <c r="AN33" s="238">
        <v>1.1499999999999999</v>
      </c>
      <c r="AO33" s="238">
        <v>1.1499999999999999</v>
      </c>
      <c r="AP33" s="238">
        <v>1.1499999999999999</v>
      </c>
      <c r="AQ33" s="238">
        <v>1.1499999999999999</v>
      </c>
      <c r="AR33" s="238">
        <v>1.1499999999999999</v>
      </c>
      <c r="AS33" s="238">
        <v>1.1499999999999999</v>
      </c>
      <c r="AT33" s="238">
        <v>1.1499999999999999</v>
      </c>
      <c r="AU33" s="238">
        <v>1</v>
      </c>
      <c r="AV33" s="238">
        <v>1</v>
      </c>
      <c r="AW33" s="238">
        <v>1</v>
      </c>
      <c r="AX33" s="274"/>
      <c r="AY33" s="91"/>
    </row>
    <row r="34" spans="1:51" x14ac:dyDescent="0.25">
      <c r="A34" s="201" t="s">
        <v>716</v>
      </c>
      <c r="C34" s="229"/>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1</v>
      </c>
      <c r="V34" s="268">
        <v>1</v>
      </c>
      <c r="W34" s="238">
        <v>0</v>
      </c>
      <c r="X34" s="238">
        <v>0</v>
      </c>
      <c r="Y34" s="238">
        <v>0</v>
      </c>
      <c r="Z34" s="238">
        <v>0</v>
      </c>
      <c r="AA34" s="238">
        <v>0</v>
      </c>
      <c r="AB34" s="238">
        <v>0</v>
      </c>
      <c r="AC34" s="238">
        <v>0</v>
      </c>
      <c r="AD34" s="238">
        <v>0</v>
      </c>
      <c r="AE34" s="238">
        <v>0</v>
      </c>
      <c r="AF34" s="238">
        <v>0</v>
      </c>
      <c r="AG34" s="238">
        <v>0</v>
      </c>
      <c r="AH34" s="238">
        <v>0</v>
      </c>
      <c r="AI34" s="238">
        <v>0</v>
      </c>
      <c r="AJ34" s="238">
        <v>0</v>
      </c>
      <c r="AK34" s="238">
        <v>0</v>
      </c>
      <c r="AL34" s="238">
        <v>0</v>
      </c>
      <c r="AM34" s="238">
        <v>0</v>
      </c>
      <c r="AN34" s="238">
        <v>0</v>
      </c>
      <c r="AO34" s="238">
        <v>0</v>
      </c>
      <c r="AP34" s="238">
        <v>0</v>
      </c>
      <c r="AQ34" s="238">
        <v>0</v>
      </c>
      <c r="AR34" s="238">
        <v>0</v>
      </c>
      <c r="AS34" s="238">
        <v>0</v>
      </c>
      <c r="AT34" s="238">
        <v>0</v>
      </c>
      <c r="AU34" s="238">
        <v>0</v>
      </c>
      <c r="AV34" s="238">
        <v>0</v>
      </c>
      <c r="AW34" s="238">
        <v>0</v>
      </c>
      <c r="AX34" s="274"/>
    </row>
    <row r="35" spans="1:51" s="89" customFormat="1" ht="15" customHeight="1" x14ac:dyDescent="0.25">
      <c r="A35" s="201" t="s">
        <v>665</v>
      </c>
      <c r="B35" s="191"/>
      <c r="C35" s="229"/>
      <c r="D35" s="267">
        <f>D29*D32+D30*D33+D31*D34</f>
        <v>0</v>
      </c>
      <c r="E35" s="267">
        <f t="shared" ref="E35:AW35" si="13">E29*E32+E30*E33+E31*E34</f>
        <v>0</v>
      </c>
      <c r="F35" s="267">
        <f t="shared" si="13"/>
        <v>0</v>
      </c>
      <c r="G35" s="267">
        <f t="shared" si="13"/>
        <v>0</v>
      </c>
      <c r="H35" s="267">
        <f t="shared" si="13"/>
        <v>0</v>
      </c>
      <c r="I35" s="267">
        <f t="shared" si="13"/>
        <v>0</v>
      </c>
      <c r="J35" s="267">
        <f t="shared" si="13"/>
        <v>0</v>
      </c>
      <c r="K35" s="267">
        <f t="shared" si="13"/>
        <v>0</v>
      </c>
      <c r="L35" s="267">
        <f t="shared" si="13"/>
        <v>18271951.274499997</v>
      </c>
      <c r="M35" s="267">
        <f t="shared" si="13"/>
        <v>18369357.219500002</v>
      </c>
      <c r="N35" s="267">
        <f t="shared" si="13"/>
        <v>18456189.454499997</v>
      </c>
      <c r="O35" s="267">
        <f t="shared" si="13"/>
        <v>18519489.124499999</v>
      </c>
      <c r="P35" s="267">
        <f t="shared" si="13"/>
        <v>13391238.024499999</v>
      </c>
      <c r="Q35" s="267">
        <f t="shared" si="13"/>
        <v>13473820.822000001</v>
      </c>
      <c r="R35" s="267">
        <f t="shared" si="13"/>
        <v>102824160.638</v>
      </c>
      <c r="S35" s="267">
        <f t="shared" si="13"/>
        <v>106346187.638</v>
      </c>
      <c r="T35" s="267">
        <f t="shared" si="13"/>
        <v>73399372.007499993</v>
      </c>
      <c r="U35" s="267">
        <f t="shared" si="13"/>
        <v>43766969.780000001</v>
      </c>
      <c r="V35" s="267">
        <f t="shared" si="13"/>
        <v>21623012.399999999</v>
      </c>
      <c r="W35" s="267">
        <f t="shared" si="13"/>
        <v>74029227.482499987</v>
      </c>
      <c r="X35" s="267">
        <f t="shared" si="13"/>
        <v>90948756.135000005</v>
      </c>
      <c r="Y35" s="267">
        <f t="shared" si="13"/>
        <v>112031762.10249999</v>
      </c>
      <c r="Z35" s="267">
        <f t="shared" si="13"/>
        <v>100735145.99150001</v>
      </c>
      <c r="AA35" s="267">
        <f t="shared" si="13"/>
        <v>102944616.042</v>
      </c>
      <c r="AB35" s="267">
        <f t="shared" si="13"/>
        <v>109065900.89299999</v>
      </c>
      <c r="AC35" s="267">
        <f t="shared" si="13"/>
        <v>123410495.37099999</v>
      </c>
      <c r="AD35" s="267">
        <f t="shared" si="13"/>
        <v>115742538.12199999</v>
      </c>
      <c r="AE35" s="267">
        <f t="shared" si="13"/>
        <v>105446073.24049999</v>
      </c>
      <c r="AF35" s="267">
        <f t="shared" si="13"/>
        <v>97524227.009499982</v>
      </c>
      <c r="AG35" s="267">
        <f t="shared" si="13"/>
        <v>105229068.668</v>
      </c>
      <c r="AH35" s="267">
        <f t="shared" si="13"/>
        <v>107764670.086</v>
      </c>
      <c r="AI35" s="267">
        <f t="shared" si="13"/>
        <v>125624313.54499999</v>
      </c>
      <c r="AJ35" s="267">
        <f t="shared" si="13"/>
        <v>155166178.11500001</v>
      </c>
      <c r="AK35" s="267">
        <f t="shared" si="13"/>
        <v>170001508.32449999</v>
      </c>
      <c r="AL35" s="267">
        <f t="shared" si="13"/>
        <v>203820085.23549998</v>
      </c>
      <c r="AM35" s="267">
        <f t="shared" si="13"/>
        <v>0</v>
      </c>
      <c r="AN35" s="267">
        <f t="shared" si="13"/>
        <v>185580300.48099998</v>
      </c>
      <c r="AO35" s="267">
        <f t="shared" si="13"/>
        <v>0</v>
      </c>
      <c r="AP35" s="267">
        <f t="shared" si="13"/>
        <v>0</v>
      </c>
      <c r="AQ35" s="267">
        <f t="shared" si="13"/>
        <v>0</v>
      </c>
      <c r="AR35" s="267">
        <f t="shared" si="13"/>
        <v>0</v>
      </c>
      <c r="AS35" s="267">
        <f t="shared" si="13"/>
        <v>0</v>
      </c>
      <c r="AT35" s="267">
        <f t="shared" si="13"/>
        <v>0</v>
      </c>
      <c r="AU35" s="267">
        <f t="shared" si="13"/>
        <v>0</v>
      </c>
      <c r="AV35" s="267">
        <f t="shared" si="13"/>
        <v>0</v>
      </c>
      <c r="AW35" s="267">
        <f t="shared" si="13"/>
        <v>0</v>
      </c>
      <c r="AX35" s="274"/>
      <c r="AY35" s="91"/>
    </row>
    <row r="36" spans="1:51" s="89" customFormat="1" ht="15" customHeight="1" x14ac:dyDescent="0.25">
      <c r="A36" s="201" t="s">
        <v>654</v>
      </c>
      <c r="B36" s="191"/>
      <c r="C36" s="229"/>
      <c r="D36" s="34">
        <v>3057127</v>
      </c>
      <c r="E36" s="34">
        <v>12469982</v>
      </c>
      <c r="F36" s="34">
        <v>11167002</v>
      </c>
      <c r="G36" s="25">
        <v>16313198</v>
      </c>
      <c r="H36" s="25">
        <v>13866215</v>
      </c>
      <c r="I36" s="25">
        <v>12806817</v>
      </c>
      <c r="J36" s="25">
        <v>14501162</v>
      </c>
      <c r="K36" s="25">
        <v>12753580</v>
      </c>
      <c r="L36" s="25">
        <v>13178751</v>
      </c>
      <c r="M36" s="25">
        <v>11594609</v>
      </c>
      <c r="N36" s="25">
        <v>10025975</v>
      </c>
      <c r="O36" s="25">
        <v>9666064</v>
      </c>
      <c r="P36" s="25">
        <v>11364874</v>
      </c>
      <c r="Q36" s="25">
        <v>13627154</v>
      </c>
      <c r="R36" s="25">
        <v>13084475</v>
      </c>
      <c r="S36" s="25">
        <v>11134439</v>
      </c>
      <c r="T36" s="25">
        <v>10144113</v>
      </c>
      <c r="U36" s="25">
        <v>8701942</v>
      </c>
      <c r="V36" s="34">
        <v>7653104</v>
      </c>
      <c r="W36" s="34">
        <v>7250092</v>
      </c>
      <c r="X36" s="34">
        <v>7012281</v>
      </c>
      <c r="Y36" s="34">
        <v>6845290</v>
      </c>
      <c r="Z36" s="34">
        <v>6606448</v>
      </c>
      <c r="AA36" s="34">
        <v>6318908</v>
      </c>
      <c r="AB36" s="34">
        <v>6139733</v>
      </c>
      <c r="AC36" s="34">
        <v>5862873</v>
      </c>
      <c r="AD36" s="34">
        <v>5521434</v>
      </c>
      <c r="AE36" s="34">
        <v>5215010</v>
      </c>
      <c r="AF36" s="34">
        <v>4980634</v>
      </c>
      <c r="AG36" s="34">
        <v>4692095</v>
      </c>
      <c r="AH36" s="34">
        <v>4467741</v>
      </c>
      <c r="AI36" s="34">
        <v>4431484</v>
      </c>
      <c r="AJ36" s="34">
        <v>4341434</v>
      </c>
      <c r="AK36" s="34">
        <v>4335189</v>
      </c>
      <c r="AL36" s="34">
        <v>4238691</v>
      </c>
      <c r="AM36" s="34">
        <v>4243774.5</v>
      </c>
      <c r="AN36" s="34">
        <v>4248858</v>
      </c>
      <c r="AO36" s="34" t="s">
        <v>429</v>
      </c>
      <c r="AP36" s="34" t="s">
        <v>429</v>
      </c>
      <c r="AQ36" s="34" t="s">
        <v>429</v>
      </c>
      <c r="AR36" s="34" t="s">
        <v>429</v>
      </c>
      <c r="AS36" s="34" t="s">
        <v>429</v>
      </c>
      <c r="AT36" s="34" t="s">
        <v>429</v>
      </c>
      <c r="AU36" s="34" t="s">
        <v>429</v>
      </c>
      <c r="AV36" s="34" t="s">
        <v>429</v>
      </c>
      <c r="AW36" s="34" t="s">
        <v>429</v>
      </c>
      <c r="AX36" s="274"/>
      <c r="AY36" s="91"/>
    </row>
    <row r="37" spans="1:51" s="89" customFormat="1" ht="15" customHeight="1" x14ac:dyDescent="0.25">
      <c r="A37" s="201" t="s">
        <v>656</v>
      </c>
      <c r="B37" s="191"/>
      <c r="C37" s="229"/>
      <c r="D37" s="243">
        <v>0.78</v>
      </c>
      <c r="E37" s="243">
        <v>0.78</v>
      </c>
      <c r="F37" s="243">
        <v>0.78</v>
      </c>
      <c r="G37" s="233">
        <v>0.51439999999999997</v>
      </c>
      <c r="H37" s="233">
        <v>0.51439999999999997</v>
      </c>
      <c r="I37" s="233">
        <v>0.51439999999999997</v>
      </c>
      <c r="J37" s="233">
        <v>0.51439999999999997</v>
      </c>
      <c r="K37" s="233">
        <v>0.51439999999999997</v>
      </c>
      <c r="L37" s="233">
        <v>0.51439999999999997</v>
      </c>
      <c r="M37" s="233">
        <v>0.51439999999999997</v>
      </c>
      <c r="N37" s="233">
        <v>0.51439999999999997</v>
      </c>
      <c r="O37" s="233">
        <v>0.51439999999999997</v>
      </c>
      <c r="P37" s="233">
        <v>0.51439999999999997</v>
      </c>
      <c r="Q37" s="233">
        <v>0.51439999999999997</v>
      </c>
      <c r="R37" s="233">
        <v>0.51439999999999997</v>
      </c>
      <c r="S37" s="233">
        <v>0.51439999999999997</v>
      </c>
      <c r="T37" s="233">
        <v>0.51439999999999997</v>
      </c>
      <c r="U37" s="233">
        <v>0.51439999999999997</v>
      </c>
      <c r="V37" s="233">
        <v>0.51439999999999997</v>
      </c>
      <c r="W37" s="233">
        <v>0.51439999999999997</v>
      </c>
      <c r="X37" s="233">
        <v>0.51439999999999997</v>
      </c>
      <c r="Y37" s="233">
        <v>0.51439999999999997</v>
      </c>
      <c r="Z37" s="233">
        <v>0.51439999999999997</v>
      </c>
      <c r="AA37" s="233">
        <v>0.51439999999999997</v>
      </c>
      <c r="AB37" s="233">
        <v>0.51439999999999997</v>
      </c>
      <c r="AC37" s="233">
        <v>0.51439999999999997</v>
      </c>
      <c r="AD37" s="233">
        <v>0.51439999999999997</v>
      </c>
      <c r="AE37" s="233">
        <v>0.51439999999999997</v>
      </c>
      <c r="AF37" s="233">
        <v>0.51439999999999997</v>
      </c>
      <c r="AG37" s="233">
        <v>0.51439999999999997</v>
      </c>
      <c r="AH37" s="233">
        <v>0.51439999999999997</v>
      </c>
      <c r="AI37" s="233">
        <v>0.51439999999999997</v>
      </c>
      <c r="AJ37" s="233">
        <v>0.51439999999999997</v>
      </c>
      <c r="AK37" s="233">
        <v>0.51439999999999997</v>
      </c>
      <c r="AL37" s="233">
        <v>0.51439999999999997</v>
      </c>
      <c r="AM37" s="233">
        <v>0.51439999999999997</v>
      </c>
      <c r="AN37" s="233">
        <v>0.51439999999999997</v>
      </c>
      <c r="AO37" s="233">
        <v>0.51439999999999997</v>
      </c>
      <c r="AP37" s="233">
        <v>0.51439999999999997</v>
      </c>
      <c r="AQ37" s="233">
        <v>0.51439999999999997</v>
      </c>
      <c r="AR37" s="233">
        <v>0.51439999999999997</v>
      </c>
      <c r="AS37" s="233">
        <v>0.51439999999999997</v>
      </c>
      <c r="AT37" s="233">
        <v>0.51439999999999997</v>
      </c>
      <c r="AU37" s="233">
        <v>0.51439999999999997</v>
      </c>
      <c r="AV37" s="233">
        <v>0.51439999999999997</v>
      </c>
      <c r="AW37" s="233">
        <v>0.51439999999999997</v>
      </c>
      <c r="AX37" s="274"/>
      <c r="AY37" s="91"/>
    </row>
    <row r="38" spans="1:51" s="89" customFormat="1" ht="15" customHeight="1" x14ac:dyDescent="0.25">
      <c r="A38" s="201" t="s">
        <v>655</v>
      </c>
      <c r="B38" s="191"/>
      <c r="C38" s="229"/>
      <c r="D38" s="34">
        <v>0</v>
      </c>
      <c r="E38" s="34">
        <v>2701999.5</v>
      </c>
      <c r="F38" s="34">
        <v>2712677</v>
      </c>
      <c r="G38" s="25">
        <v>3066140</v>
      </c>
      <c r="H38" s="25">
        <v>2502009</v>
      </c>
      <c r="I38" s="25">
        <v>2356252.5</v>
      </c>
      <c r="J38" s="25">
        <v>2571583</v>
      </c>
      <c r="K38" s="25">
        <v>2387959</v>
      </c>
      <c r="L38" s="25">
        <v>2424730.5</v>
      </c>
      <c r="M38" s="25">
        <v>2397120</v>
      </c>
      <c r="N38" s="25">
        <v>2431012</v>
      </c>
      <c r="O38" s="25">
        <v>2368708</v>
      </c>
      <c r="P38" s="25">
        <v>2863170.5</v>
      </c>
      <c r="Q38" s="25">
        <v>3010363.5</v>
      </c>
      <c r="R38" s="25">
        <v>4256323.5</v>
      </c>
      <c r="S38" s="25">
        <v>4281887</v>
      </c>
      <c r="T38" s="25">
        <v>4845397</v>
      </c>
      <c r="U38" s="25">
        <v>4137954.5</v>
      </c>
      <c r="V38" s="34">
        <v>3588812.5</v>
      </c>
      <c r="W38" s="34">
        <v>3591450.5</v>
      </c>
      <c r="X38" s="34">
        <v>3608609.5</v>
      </c>
      <c r="Y38" s="34">
        <v>3966706</v>
      </c>
      <c r="Z38" s="34">
        <v>3979195</v>
      </c>
      <c r="AA38" s="34">
        <v>3939219</v>
      </c>
      <c r="AB38" s="34">
        <v>4086214.5</v>
      </c>
      <c r="AC38" s="34">
        <v>4005702.5</v>
      </c>
      <c r="AD38" s="34">
        <v>3594176.5</v>
      </c>
      <c r="AE38" s="34">
        <v>3113436</v>
      </c>
      <c r="AF38" s="34">
        <v>2742909.5</v>
      </c>
      <c r="AG38" s="34">
        <v>2907553.5</v>
      </c>
      <c r="AH38" s="34">
        <v>2947095.5</v>
      </c>
      <c r="AI38" s="34">
        <v>3079738</v>
      </c>
      <c r="AJ38" s="34">
        <v>3373665</v>
      </c>
      <c r="AK38" s="34">
        <v>4009831.5</v>
      </c>
      <c r="AL38" s="34">
        <v>3989221</v>
      </c>
      <c r="AM38" s="34">
        <v>3992126.5</v>
      </c>
      <c r="AN38" s="34">
        <v>3995032</v>
      </c>
      <c r="AO38" s="34" t="s">
        <v>429</v>
      </c>
      <c r="AP38" s="34" t="s">
        <v>429</v>
      </c>
      <c r="AQ38" s="34" t="s">
        <v>429</v>
      </c>
      <c r="AR38" s="34" t="s">
        <v>429</v>
      </c>
      <c r="AS38" s="34" t="s">
        <v>429</v>
      </c>
      <c r="AT38" s="34" t="s">
        <v>429</v>
      </c>
      <c r="AU38" s="34" t="s">
        <v>429</v>
      </c>
      <c r="AV38" s="34" t="s">
        <v>429</v>
      </c>
      <c r="AW38" s="34" t="s">
        <v>429</v>
      </c>
      <c r="AX38" s="274"/>
      <c r="AY38" s="91"/>
    </row>
    <row r="39" spans="1:51" s="89" customFormat="1" ht="15" customHeight="1" x14ac:dyDescent="0.25">
      <c r="A39" s="201" t="s">
        <v>657</v>
      </c>
      <c r="B39" s="191"/>
      <c r="C39" s="229"/>
      <c r="D39" s="243">
        <v>0.39</v>
      </c>
      <c r="E39" s="243">
        <v>0.39</v>
      </c>
      <c r="F39" s="243">
        <v>0.39</v>
      </c>
      <c r="G39" s="233">
        <v>0.24410000000000001</v>
      </c>
      <c r="H39" s="233">
        <v>0.24410000000000001</v>
      </c>
      <c r="I39" s="233">
        <v>0.24410000000000001</v>
      </c>
      <c r="J39" s="233">
        <v>0.24410000000000001</v>
      </c>
      <c r="K39" s="233">
        <v>0.24410000000000001</v>
      </c>
      <c r="L39" s="233">
        <v>0.24410000000000001</v>
      </c>
      <c r="M39" s="233">
        <v>0.24410000000000001</v>
      </c>
      <c r="N39" s="233">
        <v>0.24410000000000001</v>
      </c>
      <c r="O39" s="233">
        <v>0.24410000000000001</v>
      </c>
      <c r="P39" s="233">
        <v>0.24410000000000001</v>
      </c>
      <c r="Q39" s="233">
        <v>0.24410000000000001</v>
      </c>
      <c r="R39" s="233">
        <v>0.24410000000000001</v>
      </c>
      <c r="S39" s="233">
        <v>0.24410000000000001</v>
      </c>
      <c r="T39" s="233">
        <v>0.24410000000000001</v>
      </c>
      <c r="U39" s="233">
        <v>0.24410000000000001</v>
      </c>
      <c r="V39" s="233">
        <v>0.24410000000000001</v>
      </c>
      <c r="W39" s="233">
        <v>0.24410000000000001</v>
      </c>
      <c r="X39" s="233">
        <v>0.24410000000000001</v>
      </c>
      <c r="Y39" s="233">
        <v>0.24410000000000001</v>
      </c>
      <c r="Z39" s="233">
        <v>0.24410000000000001</v>
      </c>
      <c r="AA39" s="233">
        <v>0.24410000000000001</v>
      </c>
      <c r="AB39" s="233">
        <v>0.24410000000000001</v>
      </c>
      <c r="AC39" s="233">
        <v>0.24410000000000001</v>
      </c>
      <c r="AD39" s="233">
        <v>0.24410000000000001</v>
      </c>
      <c r="AE39" s="233">
        <v>0.24410000000000001</v>
      </c>
      <c r="AF39" s="233">
        <v>0.24410000000000001</v>
      </c>
      <c r="AG39" s="233">
        <v>0.24410000000000001</v>
      </c>
      <c r="AH39" s="233">
        <v>0.24410000000000001</v>
      </c>
      <c r="AI39" s="233">
        <v>0.24410000000000001</v>
      </c>
      <c r="AJ39" s="233">
        <v>0.24410000000000001</v>
      </c>
      <c r="AK39" s="233">
        <v>0.24410000000000001</v>
      </c>
      <c r="AL39" s="233">
        <v>0.24410000000000001</v>
      </c>
      <c r="AM39" s="233">
        <v>0.24410000000000001</v>
      </c>
      <c r="AN39" s="233">
        <v>0.24410000000000001</v>
      </c>
      <c r="AO39" s="233">
        <v>0.24410000000000001</v>
      </c>
      <c r="AP39" s="233">
        <v>0.24410000000000001</v>
      </c>
      <c r="AQ39" s="233">
        <v>0.24410000000000001</v>
      </c>
      <c r="AR39" s="233">
        <v>0.24410000000000001</v>
      </c>
      <c r="AS39" s="233">
        <v>0.24410000000000001</v>
      </c>
      <c r="AT39" s="233">
        <v>0.24410000000000001</v>
      </c>
      <c r="AU39" s="233">
        <v>0.24410000000000001</v>
      </c>
      <c r="AV39" s="233">
        <v>0.24410000000000001</v>
      </c>
      <c r="AW39" s="233">
        <v>0.24410000000000001</v>
      </c>
      <c r="AX39" s="274"/>
      <c r="AY39" s="91"/>
    </row>
    <row r="40" spans="1:51" s="89" customFormat="1" ht="15" customHeight="1" x14ac:dyDescent="0.25">
      <c r="A40" s="201" t="s">
        <v>663</v>
      </c>
      <c r="B40" s="191"/>
      <c r="C40" s="229"/>
      <c r="D40" s="237">
        <f>D36*E$40/E$36</f>
        <v>2488430.1705663754</v>
      </c>
      <c r="E40" s="237">
        <f t="shared" ref="E40:S40" si="14">E36*F$40/F$36</f>
        <v>10150274.893787412</v>
      </c>
      <c r="F40" s="237">
        <f t="shared" si="14"/>
        <v>9089679.5231519826</v>
      </c>
      <c r="G40" s="237">
        <f t="shared" si="14"/>
        <v>13278563.200554982</v>
      </c>
      <c r="H40" s="237">
        <f t="shared" si="14"/>
        <v>11286776.0343486</v>
      </c>
      <c r="I40" s="237">
        <f t="shared" si="14"/>
        <v>10424450.738134973</v>
      </c>
      <c r="J40" s="237">
        <f t="shared" si="14"/>
        <v>11803608.102990368</v>
      </c>
      <c r="K40" s="237">
        <f t="shared" si="14"/>
        <v>10381117.060145656</v>
      </c>
      <c r="L40" s="237">
        <f t="shared" si="14"/>
        <v>10727196.350947076</v>
      </c>
      <c r="M40" s="237">
        <f t="shared" si="14"/>
        <v>9437741.6612134296</v>
      </c>
      <c r="N40" s="237">
        <f t="shared" si="14"/>
        <v>8160910.1222632267</v>
      </c>
      <c r="O40" s="237">
        <f t="shared" si="14"/>
        <v>7867950.9514081348</v>
      </c>
      <c r="P40" s="237">
        <f t="shared" si="14"/>
        <v>9250742.7222635373</v>
      </c>
      <c r="Q40" s="237">
        <f t="shared" si="14"/>
        <v>11092185.948622435</v>
      </c>
      <c r="R40" s="237">
        <f t="shared" si="14"/>
        <v>10650457.882849311</v>
      </c>
      <c r="S40" s="237">
        <f t="shared" si="14"/>
        <v>9063173.9996182341</v>
      </c>
      <c r="T40" s="237">
        <f>T36*U$40/U$36</f>
        <v>8257071.7025607955</v>
      </c>
      <c r="U40" s="25">
        <v>7083178.0999999996</v>
      </c>
      <c r="V40" s="34">
        <v>6645134.8999999994</v>
      </c>
      <c r="W40" s="34">
        <v>6800261.9999999991</v>
      </c>
      <c r="X40" s="34">
        <v>7155618.2999999989</v>
      </c>
      <c r="Y40" s="34">
        <v>8008914.1999999993</v>
      </c>
      <c r="Z40" s="34">
        <v>8320375.3999999994</v>
      </c>
      <c r="AA40" s="34">
        <v>8561445.7999999989</v>
      </c>
      <c r="AB40" s="34">
        <v>8930747.5999999996</v>
      </c>
      <c r="AC40" s="34">
        <v>9094634.4000000004</v>
      </c>
      <c r="AD40" s="34">
        <v>8657872.0999999996</v>
      </c>
      <c r="AE40" s="34">
        <v>7935637</v>
      </c>
      <c r="AF40" s="34">
        <v>7485754.9000000004</v>
      </c>
      <c r="AG40" s="34">
        <v>7693712.7000000002</v>
      </c>
      <c r="AH40" s="34">
        <v>8164718.4499999993</v>
      </c>
      <c r="AI40" s="34">
        <v>8311078.5999999996</v>
      </c>
      <c r="AJ40" s="34">
        <v>8928614.4000000004</v>
      </c>
      <c r="AK40" s="34">
        <v>10260304.4</v>
      </c>
      <c r="AL40" s="34">
        <v>10493132.6</v>
      </c>
      <c r="AM40" s="34">
        <v>10504944</v>
      </c>
      <c r="AN40" s="34">
        <v>10516755.4</v>
      </c>
      <c r="AO40" s="34" t="s">
        <v>429</v>
      </c>
      <c r="AP40" s="34" t="s">
        <v>429</v>
      </c>
      <c r="AQ40" s="34" t="s">
        <v>429</v>
      </c>
      <c r="AR40" s="34" t="s">
        <v>429</v>
      </c>
      <c r="AS40" s="34" t="s">
        <v>429</v>
      </c>
      <c r="AT40" s="34" t="s">
        <v>429</v>
      </c>
      <c r="AU40" s="34" t="s">
        <v>429</v>
      </c>
      <c r="AV40" s="34" t="s">
        <v>429</v>
      </c>
      <c r="AW40" s="34" t="s">
        <v>429</v>
      </c>
      <c r="AX40" s="274"/>
      <c r="AY40" s="91"/>
    </row>
    <row r="41" spans="1:51" s="234" customFormat="1" ht="15" customHeight="1" x14ac:dyDescent="0.25">
      <c r="A41" s="84" t="s">
        <v>660</v>
      </c>
      <c r="B41" s="190"/>
      <c r="C41" s="224"/>
      <c r="D41" s="235">
        <v>0.1</v>
      </c>
      <c r="E41" s="235">
        <v>0.1</v>
      </c>
      <c r="F41" s="235">
        <v>0.1</v>
      </c>
      <c r="G41" s="235">
        <v>0.1</v>
      </c>
      <c r="H41" s="235">
        <v>0.1</v>
      </c>
      <c r="I41" s="235">
        <v>0.1</v>
      </c>
      <c r="J41" s="235">
        <v>0.1</v>
      </c>
      <c r="K41" s="235">
        <v>0.1</v>
      </c>
      <c r="L41" s="235">
        <v>0.1</v>
      </c>
      <c r="M41" s="235">
        <v>0.1</v>
      </c>
      <c r="N41" s="235">
        <v>0.1</v>
      </c>
      <c r="O41" s="235">
        <v>0.1</v>
      </c>
      <c r="P41" s="235">
        <v>0.1</v>
      </c>
      <c r="Q41" s="235">
        <v>0.1</v>
      </c>
      <c r="R41" s="235">
        <v>0.1</v>
      </c>
      <c r="S41" s="235">
        <v>0.1</v>
      </c>
      <c r="T41" s="235">
        <v>0.1</v>
      </c>
      <c r="U41" s="235">
        <v>0.1</v>
      </c>
      <c r="V41" s="235">
        <v>0.1</v>
      </c>
      <c r="W41" s="235">
        <v>0.1</v>
      </c>
      <c r="X41" s="235">
        <v>0.1</v>
      </c>
      <c r="Y41" s="235">
        <v>0.1</v>
      </c>
      <c r="Z41" s="235">
        <v>0.1</v>
      </c>
      <c r="AA41" s="235">
        <v>0.1</v>
      </c>
      <c r="AB41" s="235">
        <v>0.1</v>
      </c>
      <c r="AC41" s="235">
        <v>0.1</v>
      </c>
      <c r="AD41" s="235">
        <v>0.1</v>
      </c>
      <c r="AE41" s="235">
        <v>0.1</v>
      </c>
      <c r="AF41" s="235">
        <v>0.1</v>
      </c>
      <c r="AG41" s="235">
        <v>0.1</v>
      </c>
      <c r="AH41" s="235">
        <v>0.1</v>
      </c>
      <c r="AI41" s="235">
        <v>0.1</v>
      </c>
      <c r="AJ41" s="235">
        <v>0.1</v>
      </c>
      <c r="AK41" s="235">
        <v>0.1</v>
      </c>
      <c r="AL41" s="235">
        <v>0.1</v>
      </c>
      <c r="AM41" s="235">
        <v>0.1</v>
      </c>
      <c r="AN41" s="235">
        <v>0.1</v>
      </c>
      <c r="AO41" s="235">
        <v>0.1</v>
      </c>
      <c r="AP41" s="235">
        <v>0.1</v>
      </c>
      <c r="AQ41" s="235">
        <v>0.1</v>
      </c>
      <c r="AR41" s="235">
        <v>0.1</v>
      </c>
      <c r="AS41" s="235">
        <v>0.1</v>
      </c>
      <c r="AT41" s="235">
        <v>0.1</v>
      </c>
      <c r="AU41" s="235">
        <v>0.1</v>
      </c>
      <c r="AV41" s="235">
        <v>0.1</v>
      </c>
      <c r="AW41" s="235">
        <v>0.1</v>
      </c>
      <c r="AX41" s="274"/>
      <c r="AY41" s="91"/>
    </row>
    <row r="42" spans="1:51" s="89" customFormat="1" ht="15" customHeight="1" x14ac:dyDescent="0.25">
      <c r="A42" s="201" t="s">
        <v>653</v>
      </c>
      <c r="B42" s="191"/>
      <c r="C42" s="229"/>
      <c r="D42" s="233">
        <v>0.57999999999999996</v>
      </c>
      <c r="E42" s="233">
        <v>0.61</v>
      </c>
      <c r="F42" s="233">
        <v>0.67</v>
      </c>
      <c r="G42" s="233">
        <v>0.66</v>
      </c>
      <c r="H42" s="233">
        <v>0.53</v>
      </c>
      <c r="I42" s="233">
        <v>0.52</v>
      </c>
      <c r="J42" s="233">
        <v>0.54</v>
      </c>
      <c r="K42" s="233">
        <v>0.54</v>
      </c>
      <c r="L42" s="233">
        <v>0.62</v>
      </c>
      <c r="M42" s="233">
        <v>0.61</v>
      </c>
      <c r="N42" s="233">
        <v>0.56000000000000005</v>
      </c>
      <c r="O42" s="233">
        <v>0.51</v>
      </c>
      <c r="P42" s="233">
        <v>0.67</v>
      </c>
      <c r="Q42" s="233">
        <v>0.84</v>
      </c>
      <c r="R42" s="233">
        <v>0.98</v>
      </c>
      <c r="S42" s="233">
        <v>1.1200000000000001</v>
      </c>
      <c r="T42" s="233">
        <v>1.02</v>
      </c>
      <c r="U42" s="233">
        <v>0.63</v>
      </c>
      <c r="V42" s="233">
        <v>0.68</v>
      </c>
      <c r="W42" s="233">
        <v>0.65</v>
      </c>
      <c r="X42" s="233">
        <v>0.67</v>
      </c>
      <c r="Y42" s="233">
        <v>0.69</v>
      </c>
      <c r="Z42" s="233">
        <v>0.62</v>
      </c>
      <c r="AA42" s="233">
        <v>0.56999999999999995</v>
      </c>
      <c r="AB42" s="233">
        <v>0.57999999999999996</v>
      </c>
      <c r="AC42" s="233">
        <v>0.53</v>
      </c>
      <c r="AD42" s="233">
        <v>0.38</v>
      </c>
      <c r="AE42" s="233">
        <v>0.28999999999999998</v>
      </c>
      <c r="AF42" s="233">
        <v>0.28000000000000003</v>
      </c>
      <c r="AG42" s="233">
        <v>0.35</v>
      </c>
      <c r="AH42" s="233">
        <v>0.48</v>
      </c>
      <c r="AI42" s="233">
        <v>0.64</v>
      </c>
      <c r="AJ42" s="233">
        <v>0.45</v>
      </c>
      <c r="AK42" s="233">
        <v>0.45</v>
      </c>
      <c r="AL42" s="233">
        <v>0.43</v>
      </c>
      <c r="AM42" s="233">
        <v>0.39</v>
      </c>
      <c r="AN42" s="233">
        <v>0.35</v>
      </c>
      <c r="AO42" s="233">
        <v>0.35</v>
      </c>
      <c r="AP42" s="233">
        <v>0.38</v>
      </c>
      <c r="AQ42" s="233">
        <v>0.45</v>
      </c>
      <c r="AR42" s="233">
        <v>0.45</v>
      </c>
      <c r="AS42" s="233">
        <v>0.52</v>
      </c>
      <c r="AT42" s="233">
        <v>0.8</v>
      </c>
      <c r="AU42" s="233">
        <v>0.72</v>
      </c>
      <c r="AV42" s="233">
        <v>0.74</v>
      </c>
      <c r="AW42" s="233">
        <v>0.74</v>
      </c>
      <c r="AX42" s="274"/>
      <c r="AY42" s="91"/>
    </row>
    <row r="43" spans="1:51" s="89" customFormat="1" ht="15" customHeight="1" x14ac:dyDescent="0.25">
      <c r="A43" s="201" t="s">
        <v>652</v>
      </c>
      <c r="B43" s="191"/>
      <c r="C43" s="229"/>
      <c r="D43" s="244">
        <v>35.700000000000003</v>
      </c>
      <c r="E43" s="244">
        <v>33.869999999999997</v>
      </c>
      <c r="F43" s="244">
        <v>30.54</v>
      </c>
      <c r="G43" s="244">
        <v>31.24</v>
      </c>
      <c r="H43" s="244">
        <v>38.64</v>
      </c>
      <c r="I43" s="244">
        <v>39.74</v>
      </c>
      <c r="J43" s="244">
        <v>38.22</v>
      </c>
      <c r="K43" s="244">
        <v>38.33</v>
      </c>
      <c r="L43" s="244">
        <v>33.619999999999997</v>
      </c>
      <c r="M43" s="244">
        <v>34.19</v>
      </c>
      <c r="N43" s="244">
        <v>37.369999999999997</v>
      </c>
      <c r="O43" s="244">
        <v>40.479999999999997</v>
      </c>
      <c r="P43" s="244">
        <v>30.78</v>
      </c>
      <c r="Q43" s="244">
        <v>24.61</v>
      </c>
      <c r="R43" s="244">
        <v>21</v>
      </c>
      <c r="S43" s="244">
        <v>18.440000000000001</v>
      </c>
      <c r="T43" s="244">
        <v>20.28</v>
      </c>
      <c r="U43" s="244">
        <v>32.76</v>
      </c>
      <c r="V43" s="244">
        <v>30.43</v>
      </c>
      <c r="W43" s="244">
        <v>31.69</v>
      </c>
      <c r="X43" s="244">
        <v>30.8</v>
      </c>
      <c r="Y43" s="244">
        <v>29.78</v>
      </c>
      <c r="Z43" s="244">
        <v>33.11</v>
      </c>
      <c r="AA43" s="244">
        <v>36.47</v>
      </c>
      <c r="AB43" s="244">
        <v>35.340000000000003</v>
      </c>
      <c r="AC43" s="244">
        <v>38.78</v>
      </c>
      <c r="AD43" s="244">
        <v>53.74</v>
      </c>
      <c r="AE43" s="244">
        <v>71.25</v>
      </c>
      <c r="AF43" s="244">
        <v>73.290000000000006</v>
      </c>
      <c r="AG43" s="244">
        <v>69.83</v>
      </c>
      <c r="AH43" s="244">
        <v>72.36</v>
      </c>
      <c r="AI43" s="244">
        <v>54.19</v>
      </c>
      <c r="AJ43" s="244">
        <v>77.09</v>
      </c>
      <c r="AK43" s="244">
        <v>77.44</v>
      </c>
      <c r="AL43" s="244">
        <v>80.39</v>
      </c>
      <c r="AM43" s="244">
        <v>88.84</v>
      </c>
      <c r="AN43" s="244">
        <v>99.76</v>
      </c>
      <c r="AO43" s="244">
        <v>99.73</v>
      </c>
      <c r="AP43" s="244">
        <v>90.57</v>
      </c>
      <c r="AQ43" s="244">
        <v>77.67</v>
      </c>
      <c r="AR43" s="244">
        <v>77.67</v>
      </c>
      <c r="AS43" s="244">
        <v>67.400000000000006</v>
      </c>
      <c r="AT43" s="244">
        <v>43.67</v>
      </c>
      <c r="AU43" s="244">
        <v>48.73</v>
      </c>
      <c r="AV43" s="244">
        <v>47.07</v>
      </c>
      <c r="AW43" s="244">
        <v>47.07</v>
      </c>
      <c r="AX43" s="274"/>
      <c r="AY43" s="91"/>
    </row>
    <row r="44" spans="1:51" s="89" customFormat="1" ht="15" customHeight="1" x14ac:dyDescent="0.25">
      <c r="A44" s="201" t="s">
        <v>662</v>
      </c>
      <c r="B44" s="191"/>
      <c r="C44" s="229"/>
      <c r="D44" s="233">
        <v>2</v>
      </c>
      <c r="E44" s="233">
        <v>2</v>
      </c>
      <c r="F44" s="233">
        <v>2</v>
      </c>
      <c r="G44" s="233">
        <v>2</v>
      </c>
      <c r="H44" s="233">
        <v>2</v>
      </c>
      <c r="I44" s="233">
        <v>2</v>
      </c>
      <c r="J44" s="233">
        <v>2</v>
      </c>
      <c r="K44" s="233">
        <v>2</v>
      </c>
      <c r="L44" s="233">
        <v>2</v>
      </c>
      <c r="M44" s="233">
        <v>2</v>
      </c>
      <c r="N44" s="233">
        <v>2</v>
      </c>
      <c r="O44" s="233">
        <v>2</v>
      </c>
      <c r="P44" s="233">
        <v>2</v>
      </c>
      <c r="Q44" s="233">
        <v>2</v>
      </c>
      <c r="R44" s="233">
        <v>2</v>
      </c>
      <c r="S44" s="233">
        <v>2</v>
      </c>
      <c r="T44" s="236">
        <f>1.1105*2</f>
        <v>2.2210000000000001</v>
      </c>
      <c r="U44" s="236">
        <f>1.07*2</f>
        <v>2.14</v>
      </c>
      <c r="V44" s="233">
        <v>2</v>
      </c>
      <c r="W44" s="233">
        <v>2</v>
      </c>
      <c r="X44" s="233">
        <v>2</v>
      </c>
      <c r="Y44" s="233">
        <v>2</v>
      </c>
      <c r="Z44" s="233">
        <v>2</v>
      </c>
      <c r="AA44" s="233">
        <v>2</v>
      </c>
      <c r="AB44" s="233">
        <v>2</v>
      </c>
      <c r="AC44" s="233">
        <v>2</v>
      </c>
      <c r="AD44" s="233">
        <v>2</v>
      </c>
      <c r="AE44" s="233">
        <v>2</v>
      </c>
      <c r="AF44" s="233">
        <v>2</v>
      </c>
      <c r="AG44" s="233">
        <v>2</v>
      </c>
      <c r="AH44" s="233">
        <v>2</v>
      </c>
      <c r="AI44" s="233">
        <v>2</v>
      </c>
      <c r="AJ44" s="233">
        <v>2</v>
      </c>
      <c r="AK44" s="233">
        <v>2</v>
      </c>
      <c r="AL44" s="233">
        <v>2</v>
      </c>
      <c r="AM44" s="233">
        <v>2</v>
      </c>
      <c r="AN44" s="233">
        <v>2</v>
      </c>
      <c r="AO44" s="233">
        <v>2</v>
      </c>
      <c r="AP44" s="233" t="s">
        <v>435</v>
      </c>
      <c r="AQ44" s="233" t="s">
        <v>435</v>
      </c>
      <c r="AR44" s="233" t="s">
        <v>435</v>
      </c>
      <c r="AS44" s="233">
        <v>2</v>
      </c>
      <c r="AT44" s="233">
        <v>2</v>
      </c>
      <c r="AU44" s="233">
        <v>2</v>
      </c>
      <c r="AV44" s="233">
        <v>2</v>
      </c>
      <c r="AW44" s="233">
        <v>2</v>
      </c>
      <c r="AX44" s="274"/>
      <c r="AY44" s="91"/>
    </row>
    <row r="45" spans="1:51" s="234" customFormat="1" ht="15" customHeight="1" x14ac:dyDescent="0.25">
      <c r="A45" s="84" t="s">
        <v>664</v>
      </c>
      <c r="B45" s="190"/>
      <c r="C45" s="224"/>
      <c r="D45" s="245">
        <f t="shared" ref="D45:AW45" si="15">(D36*D37)+(D38*D39)+(D40*D41)*D42*D44</f>
        <v>2673216.9597856998</v>
      </c>
      <c r="E45" s="245">
        <f t="shared" si="15"/>
        <v>12018699.302042065</v>
      </c>
      <c r="F45" s="245">
        <f t="shared" si="15"/>
        <v>10986222.646102365</v>
      </c>
      <c r="G45" s="245">
        <f t="shared" si="15"/>
        <v>10892724.167673256</v>
      </c>
      <c r="H45" s="245">
        <f t="shared" si="15"/>
        <v>8939919.652540952</v>
      </c>
      <c r="I45" s="245">
        <f t="shared" si="15"/>
        <v>8247130.7768160366</v>
      </c>
      <c r="J45" s="245">
        <f t="shared" si="15"/>
        <v>9361910.8182229586</v>
      </c>
      <c r="K45" s="245">
        <f t="shared" si="15"/>
        <v>8264502.9863957297</v>
      </c>
      <c r="L45" s="245">
        <f t="shared" si="15"/>
        <v>8701198.5769674368</v>
      </c>
      <c r="M45" s="245">
        <f t="shared" si="15"/>
        <v>7700808.3442680379</v>
      </c>
      <c r="N45" s="245">
        <f t="shared" si="15"/>
        <v>6664793.5028934814</v>
      </c>
      <c r="O45" s="245">
        <f t="shared" si="15"/>
        <v>6352955.9414436296</v>
      </c>
      <c r="P45" s="245">
        <f t="shared" si="15"/>
        <v>7784590.6294333134</v>
      </c>
      <c r="Q45" s="245">
        <f t="shared" si="15"/>
        <v>9608124.9873185698</v>
      </c>
      <c r="R45" s="245">
        <f t="shared" si="15"/>
        <v>9857112.2513884641</v>
      </c>
      <c r="S45" s="245">
        <f t="shared" si="15"/>
        <v>8802915.0142144859</v>
      </c>
      <c r="T45" s="245">
        <f t="shared" si="15"/>
        <v>8271466.672541528</v>
      </c>
      <c r="U45" s="245">
        <f t="shared" si="15"/>
        <v>6441307.7296920009</v>
      </c>
      <c r="V45" s="245">
        <f t="shared" si="15"/>
        <v>5716524.1752499994</v>
      </c>
      <c r="W45" s="245">
        <f t="shared" si="15"/>
        <v>5490154.4518499989</v>
      </c>
      <c r="X45" s="245">
        <f t="shared" si="15"/>
        <v>5446831.7775499988</v>
      </c>
      <c r="Y45" s="245">
        <f t="shared" si="15"/>
        <v>5594720.2702000001</v>
      </c>
      <c r="Z45" s="245">
        <f t="shared" si="15"/>
        <v>5401404.9002999999</v>
      </c>
      <c r="AA45" s="245">
        <f t="shared" si="15"/>
        <v>5188014.4543000003</v>
      </c>
      <c r="AB45" s="245">
        <f t="shared" si="15"/>
        <v>5191690.3362499997</v>
      </c>
      <c r="AC45" s="245">
        <f t="shared" si="15"/>
        <v>4957685.0978500005</v>
      </c>
      <c r="AD45" s="245">
        <f t="shared" si="15"/>
        <v>4375562.41285</v>
      </c>
      <c r="AE45" s="245">
        <f t="shared" si="15"/>
        <v>3902857.8175999997</v>
      </c>
      <c r="AF45" s="245">
        <f t="shared" si="15"/>
        <v>3650784.6129499995</v>
      </c>
      <c r="AG45" s="245">
        <f t="shared" si="15"/>
        <v>3661907.3663500003</v>
      </c>
      <c r="AH45" s="245">
        <f t="shared" si="15"/>
        <v>3801404.95315</v>
      </c>
      <c r="AI45" s="245">
        <f t="shared" si="15"/>
        <v>4095137.4761999999</v>
      </c>
      <c r="AJ45" s="245">
        <f t="shared" si="15"/>
        <v>3860320.5720999995</v>
      </c>
      <c r="AK45" s="245">
        <f t="shared" si="15"/>
        <v>4132248.4867500002</v>
      </c>
      <c r="AL45" s="245">
        <f t="shared" si="15"/>
        <v>4056560.9000999997</v>
      </c>
      <c r="AM45" s="245">
        <f t="shared" si="15"/>
        <v>3976861.3134500002</v>
      </c>
      <c r="AN45" s="245">
        <f t="shared" si="15"/>
        <v>3896972.7443999997</v>
      </c>
      <c r="AO45" s="245" t="e">
        <f t="shared" si="15"/>
        <v>#VALUE!</v>
      </c>
      <c r="AP45" s="245" t="e">
        <f t="shared" si="15"/>
        <v>#VALUE!</v>
      </c>
      <c r="AQ45" s="245" t="e">
        <f t="shared" si="15"/>
        <v>#VALUE!</v>
      </c>
      <c r="AR45" s="245" t="e">
        <f t="shared" si="15"/>
        <v>#VALUE!</v>
      </c>
      <c r="AS45" s="245" t="e">
        <f t="shared" si="15"/>
        <v>#VALUE!</v>
      </c>
      <c r="AT45" s="245" t="e">
        <f t="shared" si="15"/>
        <v>#VALUE!</v>
      </c>
      <c r="AU45" s="245" t="e">
        <f t="shared" si="15"/>
        <v>#VALUE!</v>
      </c>
      <c r="AV45" s="245" t="e">
        <f t="shared" si="15"/>
        <v>#VALUE!</v>
      </c>
      <c r="AW45" s="245" t="e">
        <f t="shared" si="15"/>
        <v>#VALUE!</v>
      </c>
      <c r="AX45" s="274"/>
      <c r="AY45" s="91"/>
    </row>
    <row r="46" spans="1:51" s="89" customFormat="1" ht="15" customHeight="1" x14ac:dyDescent="0.25">
      <c r="A46" s="31"/>
      <c r="B46" s="31"/>
      <c r="C46" s="22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74"/>
      <c r="AY46" s="91"/>
    </row>
    <row r="47" spans="1:51" s="29" customFormat="1" ht="15" customHeight="1" x14ac:dyDescent="0.25">
      <c r="A47" s="88"/>
      <c r="B47" s="88"/>
      <c r="C47" s="225"/>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75"/>
      <c r="AY47" s="86"/>
    </row>
    <row r="48" spans="1:51" s="29" customFormat="1" ht="15" customHeight="1" x14ac:dyDescent="0.25">
      <c r="A48" s="23" t="s">
        <v>228</v>
      </c>
      <c r="B48" s="23"/>
      <c r="C48" s="229"/>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75"/>
      <c r="AY48" s="86"/>
    </row>
    <row r="49" spans="1:51" s="29" customFormat="1" ht="15" customHeight="1" x14ac:dyDescent="0.25">
      <c r="A49" s="88"/>
      <c r="B49" s="88"/>
      <c r="C49" s="225"/>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75"/>
      <c r="AY49" s="86"/>
    </row>
    <row r="50" spans="1:51" s="40" customFormat="1" x14ac:dyDescent="0.25">
      <c r="A50" s="38" t="s">
        <v>681</v>
      </c>
      <c r="B50" s="39"/>
      <c r="C50" s="227"/>
      <c r="D50" s="40" t="s">
        <v>676</v>
      </c>
      <c r="E50" s="40" t="s">
        <v>677</v>
      </c>
      <c r="F50" s="40" t="s">
        <v>678</v>
      </c>
      <c r="G50" s="40" t="s">
        <v>679</v>
      </c>
      <c r="H50" s="40" t="s">
        <v>680</v>
      </c>
      <c r="I50" s="40" t="s">
        <v>682</v>
      </c>
      <c r="J50" s="40" t="s">
        <v>689</v>
      </c>
      <c r="K50" s="40" t="s">
        <v>691</v>
      </c>
      <c r="L50" s="40" t="s">
        <v>692</v>
      </c>
      <c r="M50" s="40" t="s">
        <v>693</v>
      </c>
      <c r="N50" s="40" t="s">
        <v>530</v>
      </c>
      <c r="O50" s="40" t="s">
        <v>531</v>
      </c>
      <c r="P50" s="40" t="s">
        <v>532</v>
      </c>
      <c r="Q50" s="40" t="s">
        <v>533</v>
      </c>
      <c r="R50" s="77" t="s">
        <v>274</v>
      </c>
      <c r="S50" s="41"/>
      <c r="T50" s="41"/>
      <c r="U50" s="41"/>
      <c r="V50" s="41"/>
      <c r="W50" s="40" t="s">
        <v>203</v>
      </c>
      <c r="X50" s="39" t="s">
        <v>46</v>
      </c>
      <c r="Y50" s="40" t="s">
        <v>534</v>
      </c>
      <c r="Z50" s="40" t="s">
        <v>535</v>
      </c>
      <c r="AA50" s="40" t="s">
        <v>536</v>
      </c>
      <c r="AB50" s="40" t="s">
        <v>537</v>
      </c>
      <c r="AC50" s="40" t="s">
        <v>538</v>
      </c>
      <c r="AD50" s="40" t="s">
        <v>539</v>
      </c>
      <c r="AE50" s="40" t="s">
        <v>540</v>
      </c>
      <c r="AF50" s="40" t="s">
        <v>541</v>
      </c>
      <c r="AG50" s="40" t="s">
        <v>542</v>
      </c>
      <c r="AH50" s="40" t="s">
        <v>543</v>
      </c>
      <c r="AI50" s="66" t="s">
        <v>544</v>
      </c>
      <c r="AJ50" s="66" t="s">
        <v>270</v>
      </c>
      <c r="AK50" s="66" t="s">
        <v>269</v>
      </c>
      <c r="AL50" s="66" t="s">
        <v>268</v>
      </c>
      <c r="AM50" s="66" t="s">
        <v>271</v>
      </c>
      <c r="AN50" s="66" t="s">
        <v>272</v>
      </c>
      <c r="AO50" s="77" t="s">
        <v>276</v>
      </c>
      <c r="AP50" s="41"/>
      <c r="AQ50" s="41"/>
      <c r="AR50" s="41"/>
      <c r="AS50" s="41"/>
      <c r="AT50" s="40" t="s">
        <v>277</v>
      </c>
      <c r="AU50" s="40" t="s">
        <v>277</v>
      </c>
      <c r="AV50" s="40" t="s">
        <v>545</v>
      </c>
      <c r="AW50" s="40" t="s">
        <v>546</v>
      </c>
      <c r="AX50" s="276"/>
      <c r="AY50" s="60"/>
    </row>
    <row r="51" spans="1:51" x14ac:dyDescent="0.25">
      <c r="A51" s="23" t="s">
        <v>637</v>
      </c>
      <c r="C51" s="229"/>
      <c r="D51" s="57"/>
      <c r="E51" s="62"/>
      <c r="F51" s="62"/>
      <c r="G51" s="62"/>
      <c r="H51" s="62"/>
      <c r="I51" s="62"/>
      <c r="J51" s="62"/>
      <c r="K51" s="62"/>
      <c r="L51" s="62"/>
      <c r="R51" s="248"/>
      <c r="S51" s="248"/>
      <c r="T51" s="248"/>
      <c r="U51" s="248"/>
      <c r="V51" s="248"/>
      <c r="AI51" s="62"/>
      <c r="AJ51" s="62"/>
      <c r="AK51" s="62"/>
      <c r="AL51" s="62"/>
      <c r="AM51" s="62"/>
      <c r="AN51" s="62"/>
      <c r="AO51" s="248"/>
      <c r="AP51" s="248"/>
      <c r="AQ51" s="248"/>
      <c r="AR51" s="248"/>
      <c r="AS51" s="248"/>
      <c r="AX51" s="277"/>
      <c r="AY51" s="196"/>
    </row>
    <row r="52" spans="1:51" x14ac:dyDescent="0.25">
      <c r="A52" s="24" t="s">
        <v>694</v>
      </c>
      <c r="B52" s="1"/>
      <c r="C52" s="229" t="s">
        <v>699</v>
      </c>
      <c r="D52" s="218">
        <v>6000000</v>
      </c>
      <c r="E52" s="218">
        <v>14500000</v>
      </c>
      <c r="F52" s="218">
        <v>14410000</v>
      </c>
      <c r="G52" s="62">
        <v>21540708</v>
      </c>
      <c r="H52" s="62">
        <v>44342678.859999999</v>
      </c>
      <c r="I52" s="62"/>
      <c r="J52" s="62"/>
      <c r="K52" s="62"/>
      <c r="L52" s="62"/>
      <c r="M52" s="62"/>
      <c r="N52" s="62"/>
      <c r="O52" s="62"/>
      <c r="P52" s="62"/>
      <c r="Q52" s="62"/>
      <c r="R52" s="248"/>
      <c r="S52" s="248"/>
      <c r="T52" s="248"/>
      <c r="U52" s="248"/>
      <c r="V52" s="248"/>
      <c r="W52" s="62"/>
      <c r="X52" s="62"/>
      <c r="Y52" s="62"/>
      <c r="Z52" s="62"/>
      <c r="AA52" s="62"/>
      <c r="AB52" s="62"/>
      <c r="AC52" s="62"/>
      <c r="AD52" s="62"/>
      <c r="AE52" s="62"/>
      <c r="AF52" s="62"/>
      <c r="AG52" s="62"/>
      <c r="AH52" s="62"/>
      <c r="AI52" s="62"/>
      <c r="AJ52" s="62"/>
      <c r="AK52" s="62"/>
      <c r="AL52" s="62"/>
      <c r="AM52" s="62"/>
      <c r="AN52" s="62"/>
      <c r="AO52" s="248"/>
      <c r="AP52" s="248"/>
      <c r="AQ52" s="248"/>
      <c r="AR52" s="248"/>
      <c r="AS52" s="248"/>
      <c r="AT52" s="62"/>
      <c r="AU52" s="62"/>
      <c r="AV52" s="62"/>
      <c r="AW52" s="62"/>
      <c r="AX52" s="278"/>
      <c r="AY52" s="57"/>
    </row>
    <row r="53" spans="1:51" s="180" customFormat="1" x14ac:dyDescent="0.25">
      <c r="A53" s="24" t="s">
        <v>207</v>
      </c>
      <c r="C53" s="229" t="s">
        <v>647</v>
      </c>
      <c r="D53" s="57"/>
      <c r="E53" s="62"/>
      <c r="F53" s="62"/>
      <c r="G53" s="62"/>
      <c r="H53" s="62"/>
      <c r="I53" s="62">
        <v>29565169.780000001</v>
      </c>
      <c r="J53" s="62">
        <v>31179048.559999999</v>
      </c>
      <c r="K53" s="62">
        <v>34291752.380000003</v>
      </c>
      <c r="L53" s="62">
        <v>34423897.219999999</v>
      </c>
      <c r="M53" s="25">
        <v>37451439.850000001</v>
      </c>
      <c r="N53" s="25">
        <v>39851161.969999999</v>
      </c>
      <c r="O53" s="25">
        <v>38341396.729999997</v>
      </c>
      <c r="P53" s="25">
        <v>20444970.829999998</v>
      </c>
      <c r="Q53" s="25">
        <v>14947107.890000001</v>
      </c>
      <c r="R53" s="248"/>
      <c r="S53" s="248"/>
      <c r="T53" s="248"/>
      <c r="U53" s="248"/>
      <c r="V53" s="248"/>
      <c r="W53" s="6">
        <v>18551659</v>
      </c>
      <c r="X53" s="6">
        <v>22198196</v>
      </c>
      <c r="Y53" s="6">
        <v>17820276</v>
      </c>
      <c r="Z53" s="6">
        <v>15713145</v>
      </c>
      <c r="AA53" s="6">
        <v>13594425</v>
      </c>
      <c r="AB53" s="6">
        <v>14149900</v>
      </c>
      <c r="AC53" s="6">
        <v>16650743</v>
      </c>
      <c r="AD53" s="6">
        <v>13007289</v>
      </c>
      <c r="AE53" s="6">
        <v>12806496</v>
      </c>
      <c r="AF53" s="6">
        <v>7968211</v>
      </c>
      <c r="AG53" s="6">
        <v>14708747</v>
      </c>
      <c r="AH53" s="6">
        <v>16895434</v>
      </c>
      <c r="AI53" s="62">
        <v>19892099</v>
      </c>
      <c r="AJ53" s="62">
        <v>19677393</v>
      </c>
      <c r="AK53" s="62">
        <v>16855668</v>
      </c>
      <c r="AL53" s="62">
        <v>15285855</v>
      </c>
      <c r="AM53" s="62">
        <v>14601279</v>
      </c>
      <c r="AN53" s="62">
        <v>15349995</v>
      </c>
      <c r="AO53" s="248"/>
      <c r="AP53" s="248"/>
      <c r="AQ53" s="248"/>
      <c r="AR53" s="248"/>
      <c r="AS53" s="248"/>
      <c r="AT53" s="6"/>
      <c r="AU53" s="6"/>
      <c r="AV53" s="6">
        <v>10426786.5</v>
      </c>
      <c r="AW53" s="62">
        <v>10548992</v>
      </c>
      <c r="AX53" s="277"/>
      <c r="AY53" s="196"/>
    </row>
    <row r="54" spans="1:51" s="33" customFormat="1" x14ac:dyDescent="0.25">
      <c r="A54" s="32" t="s">
        <v>683</v>
      </c>
      <c r="C54" s="223" t="s">
        <v>651</v>
      </c>
      <c r="D54" s="251"/>
      <c r="E54" s="251"/>
      <c r="F54" s="251"/>
      <c r="G54" s="251"/>
      <c r="H54" s="251"/>
      <c r="I54" s="251">
        <v>3941197.11</v>
      </c>
      <c r="J54" s="251">
        <v>2906509.02</v>
      </c>
      <c r="K54" s="251">
        <v>2527886.35</v>
      </c>
      <c r="L54" s="251">
        <v>2651683.41</v>
      </c>
      <c r="M54" s="250">
        <v>1549855.23</v>
      </c>
      <c r="N54" s="250">
        <v>514304.16</v>
      </c>
      <c r="O54" s="250">
        <v>746991.23</v>
      </c>
      <c r="P54" s="250">
        <v>655772.13</v>
      </c>
      <c r="Q54" s="250">
        <v>826734.23</v>
      </c>
      <c r="R54" s="249"/>
      <c r="S54" s="249"/>
      <c r="T54" s="249"/>
      <c r="U54" s="249"/>
      <c r="V54" s="249"/>
      <c r="W54" s="250">
        <v>21766564.5</v>
      </c>
      <c r="X54" s="250">
        <v>27122064.5</v>
      </c>
      <c r="Y54" s="250">
        <v>36537553.5</v>
      </c>
      <c r="Z54" s="250">
        <v>32687553.5</v>
      </c>
      <c r="AA54" s="250">
        <v>34687553.5</v>
      </c>
      <c r="AB54" s="250">
        <v>37062553.5</v>
      </c>
      <c r="AC54" s="250">
        <v>40212553.5</v>
      </c>
      <c r="AD54" s="250">
        <v>40607553.5</v>
      </c>
      <c r="AE54" s="250">
        <v>38163803.5</v>
      </c>
      <c r="AF54" s="250">
        <v>37163803.5</v>
      </c>
      <c r="AG54" s="250">
        <v>37163803.5</v>
      </c>
      <c r="AH54" s="250">
        <v>37163803.5</v>
      </c>
      <c r="AI54" s="251">
        <v>43238803.5</v>
      </c>
      <c r="AJ54" s="251"/>
      <c r="AK54" s="251"/>
      <c r="AL54" s="251"/>
      <c r="AM54" s="251"/>
      <c r="AN54" s="251"/>
      <c r="AO54" s="249"/>
      <c r="AP54" s="249"/>
      <c r="AQ54" s="249"/>
      <c r="AR54" s="249"/>
      <c r="AS54" s="249"/>
      <c r="AT54" s="250"/>
      <c r="AU54" s="250"/>
      <c r="AV54" s="250"/>
      <c r="AW54" s="250"/>
      <c r="AX54" s="277"/>
      <c r="AY54" s="196"/>
    </row>
    <row r="55" spans="1:51" s="192" customFormat="1" x14ac:dyDescent="0.25">
      <c r="A55" s="190" t="s">
        <v>697</v>
      </c>
      <c r="C55" s="223" t="s">
        <v>229</v>
      </c>
      <c r="D55" s="218"/>
      <c r="E55" s="218"/>
      <c r="F55" s="218"/>
      <c r="G55" s="218"/>
      <c r="H55" s="218"/>
      <c r="I55" s="218">
        <v>7882394.2199999997</v>
      </c>
      <c r="J55" s="218">
        <v>5813018.04</v>
      </c>
      <c r="K55" s="218">
        <v>5055772.7</v>
      </c>
      <c r="L55" s="218">
        <v>5303366.82</v>
      </c>
      <c r="M55" s="218">
        <v>3099710.46</v>
      </c>
      <c r="N55" s="218">
        <v>1028608.32</v>
      </c>
      <c r="O55" s="218">
        <v>1493982.46</v>
      </c>
      <c r="P55" s="218">
        <v>1311544.26</v>
      </c>
      <c r="Q55" s="218">
        <v>1653468.46</v>
      </c>
      <c r="R55" s="252"/>
      <c r="S55" s="252"/>
      <c r="T55" s="252"/>
      <c r="U55" s="252"/>
      <c r="V55" s="252"/>
      <c r="W55" s="34"/>
      <c r="X55" s="34"/>
      <c r="Y55" s="34">
        <v>3700000</v>
      </c>
      <c r="Z55" s="34">
        <v>3700000</v>
      </c>
      <c r="AA55" s="34">
        <v>3700000</v>
      </c>
      <c r="AB55" s="34">
        <v>3700000</v>
      </c>
      <c r="AC55" s="34">
        <v>3700000</v>
      </c>
      <c r="AD55" s="34">
        <v>3700000</v>
      </c>
      <c r="AE55" s="34"/>
      <c r="AF55" s="34"/>
      <c r="AG55" s="34"/>
      <c r="AH55" s="34"/>
      <c r="AI55" s="218"/>
      <c r="AJ55" s="218"/>
      <c r="AK55" s="218"/>
      <c r="AL55" s="218"/>
      <c r="AM55" s="218"/>
      <c r="AN55" s="218"/>
      <c r="AO55" s="252"/>
      <c r="AP55" s="252"/>
      <c r="AQ55" s="252"/>
      <c r="AR55" s="252"/>
      <c r="AS55" s="252"/>
      <c r="AT55" s="34"/>
      <c r="AU55" s="34"/>
      <c r="AV55" s="34"/>
      <c r="AW55" s="218"/>
      <c r="AX55" s="277"/>
      <c r="AY55" s="196"/>
    </row>
    <row r="56" spans="1:51" s="33" customFormat="1" x14ac:dyDescent="0.25">
      <c r="A56" s="32" t="s">
        <v>684</v>
      </c>
      <c r="C56" s="223" t="s">
        <v>651</v>
      </c>
      <c r="D56" s="251"/>
      <c r="E56" s="251"/>
      <c r="F56" s="251"/>
      <c r="G56" s="251"/>
      <c r="H56" s="251"/>
      <c r="I56" s="251">
        <v>2836339.88</v>
      </c>
      <c r="J56" s="251">
        <v>4178054.86</v>
      </c>
      <c r="K56" s="251">
        <v>12559850.65</v>
      </c>
      <c r="L56" s="251">
        <v>10389433.960000001</v>
      </c>
      <c r="M56" s="251">
        <v>9590024.1400000006</v>
      </c>
      <c r="N56" s="251">
        <v>4961362.3899999997</v>
      </c>
      <c r="O56" s="251">
        <v>4382415.34</v>
      </c>
      <c r="P56" s="251">
        <v>16708460.49</v>
      </c>
      <c r="Q56" s="251">
        <v>31378262.77</v>
      </c>
      <c r="R56" s="249"/>
      <c r="S56" s="249"/>
      <c r="T56" s="249"/>
      <c r="U56" s="249"/>
      <c r="V56" s="249"/>
      <c r="W56" s="250">
        <v>21766564.5</v>
      </c>
      <c r="X56" s="250">
        <v>27122064.5</v>
      </c>
      <c r="Y56" s="250">
        <v>36537553.5</v>
      </c>
      <c r="Z56" s="250">
        <v>32687553.5</v>
      </c>
      <c r="AA56" s="250">
        <v>34687553.5</v>
      </c>
      <c r="AB56" s="250">
        <v>37062553.5</v>
      </c>
      <c r="AC56" s="250">
        <v>40212553.5</v>
      </c>
      <c r="AD56" s="250">
        <v>40607553.5</v>
      </c>
      <c r="AE56" s="250">
        <v>38163803.5</v>
      </c>
      <c r="AF56" s="250">
        <v>37163803.5</v>
      </c>
      <c r="AG56" s="250">
        <v>37163803.5</v>
      </c>
      <c r="AH56" s="250">
        <v>37163803.5</v>
      </c>
      <c r="AI56" s="251">
        <v>43238803.5</v>
      </c>
      <c r="AJ56" s="251"/>
      <c r="AK56" s="251"/>
      <c r="AL56" s="251"/>
      <c r="AM56" s="251">
        <v>73738803.5</v>
      </c>
      <c r="AN56" s="251"/>
      <c r="AO56" s="249"/>
      <c r="AP56" s="249"/>
      <c r="AQ56" s="249"/>
      <c r="AR56" s="249"/>
      <c r="AS56" s="249"/>
      <c r="AT56" s="250"/>
      <c r="AU56" s="250"/>
      <c r="AV56" s="250"/>
      <c r="AW56" s="250"/>
      <c r="AX56" s="277"/>
      <c r="AY56" s="196"/>
    </row>
    <row r="57" spans="1:51" s="192" customFormat="1" x14ac:dyDescent="0.25">
      <c r="A57" s="190" t="s">
        <v>205</v>
      </c>
      <c r="C57" s="223" t="s">
        <v>229</v>
      </c>
      <c r="D57" s="218"/>
      <c r="E57" s="218"/>
      <c r="F57" s="218"/>
      <c r="G57" s="218"/>
      <c r="H57" s="218"/>
      <c r="I57" s="218">
        <v>5672679.7599999998</v>
      </c>
      <c r="J57" s="218">
        <v>8356109.7199999997</v>
      </c>
      <c r="K57" s="218">
        <v>25119701.300000001</v>
      </c>
      <c r="L57" s="218">
        <v>20778867.920000002</v>
      </c>
      <c r="M57" s="218">
        <v>19180048.280000001</v>
      </c>
      <c r="N57" s="218">
        <v>9922724.7799999993</v>
      </c>
      <c r="O57" s="218">
        <v>8764830.6799999997</v>
      </c>
      <c r="P57" s="218">
        <v>33416920.98</v>
      </c>
      <c r="Q57" s="218">
        <v>62756525.539999999</v>
      </c>
      <c r="R57" s="252"/>
      <c r="S57" s="252"/>
      <c r="T57" s="252"/>
      <c r="U57" s="252"/>
      <c r="V57" s="252"/>
      <c r="W57" s="34">
        <v>43533129</v>
      </c>
      <c r="X57" s="34">
        <v>54244129</v>
      </c>
      <c r="Y57" s="34">
        <v>73075107</v>
      </c>
      <c r="Z57" s="34">
        <v>65375107</v>
      </c>
      <c r="AA57" s="34">
        <v>69375107</v>
      </c>
      <c r="AB57" s="34">
        <v>74125107</v>
      </c>
      <c r="AC57" s="34">
        <v>80425107</v>
      </c>
      <c r="AD57" s="34">
        <v>81215107</v>
      </c>
      <c r="AE57" s="34">
        <v>76327607</v>
      </c>
      <c r="AF57" s="34">
        <v>74327607</v>
      </c>
      <c r="AG57" s="34">
        <v>74327607</v>
      </c>
      <c r="AH57" s="34">
        <v>74327607</v>
      </c>
      <c r="AI57" s="34">
        <v>86477607</v>
      </c>
      <c r="AJ57" s="34"/>
      <c r="AK57" s="34"/>
      <c r="AL57" s="34"/>
      <c r="AM57" s="34">
        <v>147477607</v>
      </c>
      <c r="AN57" s="34"/>
      <c r="AO57" s="252"/>
      <c r="AP57" s="252"/>
      <c r="AQ57" s="252"/>
      <c r="AR57" s="252"/>
      <c r="AS57" s="252"/>
      <c r="AT57" s="34"/>
      <c r="AU57" s="34"/>
      <c r="AV57" s="34"/>
      <c r="AW57" s="34"/>
      <c r="AX57" s="277"/>
      <c r="AY57" s="196"/>
    </row>
    <row r="58" spans="1:51" s="33" customFormat="1" x14ac:dyDescent="0.25">
      <c r="A58" s="32" t="s">
        <v>687</v>
      </c>
      <c r="C58" s="223" t="s">
        <v>229</v>
      </c>
      <c r="D58" s="251"/>
      <c r="E58" s="251"/>
      <c r="F58" s="251"/>
      <c r="G58" s="251"/>
      <c r="H58" s="251"/>
      <c r="I58" s="251">
        <v>7280221.9500000002</v>
      </c>
      <c r="J58" s="251">
        <v>10111159.859999999</v>
      </c>
      <c r="K58" s="251"/>
      <c r="L58" s="251"/>
      <c r="M58" s="251"/>
      <c r="N58" s="251"/>
      <c r="O58" s="251"/>
      <c r="P58" s="251"/>
      <c r="Q58" s="251"/>
      <c r="R58" s="249"/>
      <c r="S58" s="249"/>
      <c r="T58" s="249"/>
      <c r="U58" s="249"/>
      <c r="V58" s="249"/>
      <c r="W58" s="250"/>
      <c r="X58" s="250"/>
      <c r="Y58" s="250"/>
      <c r="Z58" s="250"/>
      <c r="AA58" s="250"/>
      <c r="AB58" s="250"/>
      <c r="AC58" s="250"/>
      <c r="AD58" s="250"/>
      <c r="AE58" s="250"/>
      <c r="AF58" s="250"/>
      <c r="AG58" s="250"/>
      <c r="AH58" s="250"/>
      <c r="AI58" s="250"/>
      <c r="AJ58" s="250"/>
      <c r="AK58" s="250"/>
      <c r="AL58" s="250"/>
      <c r="AM58" s="250"/>
      <c r="AN58" s="250"/>
      <c r="AO58" s="249"/>
      <c r="AP58" s="249"/>
      <c r="AQ58" s="249"/>
      <c r="AR58" s="249"/>
      <c r="AS58" s="249"/>
      <c r="AT58" s="250"/>
      <c r="AU58" s="250"/>
      <c r="AV58" s="250"/>
      <c r="AW58" s="250"/>
      <c r="AX58" s="277"/>
      <c r="AY58" s="196"/>
    </row>
    <row r="59" spans="1:51" s="192" customFormat="1" x14ac:dyDescent="0.25">
      <c r="A59" s="190" t="s">
        <v>688</v>
      </c>
      <c r="C59" s="229" t="s">
        <v>229</v>
      </c>
      <c r="D59" s="218"/>
      <c r="E59" s="218"/>
      <c r="F59" s="218"/>
      <c r="G59" s="218"/>
      <c r="H59" s="218"/>
      <c r="I59" s="218">
        <v>14560443.9</v>
      </c>
      <c r="J59" s="218">
        <v>20222319.719999999</v>
      </c>
      <c r="K59" s="218"/>
      <c r="L59" s="218"/>
      <c r="M59" s="218"/>
      <c r="N59" s="218"/>
      <c r="O59" s="218"/>
      <c r="P59" s="218"/>
      <c r="Q59" s="218"/>
      <c r="R59" s="252"/>
      <c r="S59" s="252"/>
      <c r="T59" s="252"/>
      <c r="U59" s="252"/>
      <c r="V59" s="252"/>
      <c r="W59" s="34"/>
      <c r="X59" s="34"/>
      <c r="Y59" s="34"/>
      <c r="Z59" s="34"/>
      <c r="AA59" s="34"/>
      <c r="AB59" s="34"/>
      <c r="AC59" s="34"/>
      <c r="AD59" s="34"/>
      <c r="AE59" s="34"/>
      <c r="AF59" s="34"/>
      <c r="AG59" s="34"/>
      <c r="AH59" s="34"/>
      <c r="AI59" s="34"/>
      <c r="AJ59" s="34"/>
      <c r="AK59" s="34"/>
      <c r="AL59" s="34"/>
      <c r="AM59" s="34"/>
      <c r="AN59" s="34"/>
      <c r="AO59" s="252"/>
      <c r="AP59" s="252"/>
      <c r="AQ59" s="252"/>
      <c r="AR59" s="252"/>
      <c r="AS59" s="252"/>
      <c r="AT59" s="34"/>
      <c r="AU59" s="34"/>
      <c r="AV59" s="34"/>
      <c r="AW59" s="34"/>
      <c r="AX59" s="277"/>
      <c r="AY59" s="196"/>
    </row>
    <row r="60" spans="1:51" s="9" customFormat="1" x14ac:dyDescent="0.25">
      <c r="A60" s="31" t="s">
        <v>206</v>
      </c>
      <c r="C60" s="229" t="s">
        <v>229</v>
      </c>
      <c r="D60" s="57"/>
      <c r="E60" s="57"/>
      <c r="F60" s="57"/>
      <c r="G60" s="57"/>
      <c r="H60" s="57"/>
      <c r="I60" s="57"/>
      <c r="J60" s="57"/>
      <c r="K60" s="57"/>
      <c r="L60" s="57"/>
      <c r="M60" s="6"/>
      <c r="N60" s="6"/>
      <c r="O60" s="6"/>
      <c r="P60" s="6"/>
      <c r="Q60" s="6"/>
      <c r="R60" s="253"/>
      <c r="S60" s="253"/>
      <c r="T60" s="253"/>
      <c r="U60" s="253"/>
      <c r="V60" s="253"/>
      <c r="W60" s="25"/>
      <c r="X60" s="25"/>
      <c r="Y60" s="25"/>
      <c r="Z60" s="25"/>
      <c r="AA60" s="25"/>
      <c r="AB60" s="25"/>
      <c r="AC60" s="25"/>
      <c r="AD60" s="25"/>
      <c r="AE60" s="25"/>
      <c r="AF60" s="25"/>
      <c r="AG60" s="25"/>
      <c r="AH60" s="25"/>
      <c r="AI60" s="57"/>
      <c r="AJ60" s="57"/>
      <c r="AK60" s="57"/>
      <c r="AL60" s="57"/>
      <c r="AM60" s="57"/>
      <c r="AN60" s="57"/>
      <c r="AO60" s="253"/>
      <c r="AP60" s="253"/>
      <c r="AQ60" s="253"/>
      <c r="AR60" s="253"/>
      <c r="AS60" s="253"/>
      <c r="AT60" s="25"/>
      <c r="AU60" s="25"/>
      <c r="AV60" s="25">
        <v>630000</v>
      </c>
      <c r="AW60" s="57">
        <v>630000</v>
      </c>
      <c r="AX60" s="277"/>
      <c r="AY60" s="196"/>
    </row>
    <row r="61" spans="1:51" s="9" customFormat="1" x14ac:dyDescent="0.25">
      <c r="A61" s="93" t="s">
        <v>241</v>
      </c>
      <c r="C61" s="229" t="s">
        <v>229</v>
      </c>
      <c r="D61" s="57"/>
      <c r="E61" s="57"/>
      <c r="F61" s="57"/>
      <c r="G61" s="57"/>
      <c r="H61" s="57"/>
      <c r="I61" s="57"/>
      <c r="J61" s="57"/>
      <c r="K61" s="57"/>
      <c r="L61" s="57"/>
      <c r="M61" s="25"/>
      <c r="N61" s="25"/>
      <c r="O61" s="25"/>
      <c r="P61" s="25"/>
      <c r="Q61" s="25"/>
      <c r="R61" s="253"/>
      <c r="S61" s="253"/>
      <c r="T61" s="253"/>
      <c r="U61" s="253"/>
      <c r="V61" s="253"/>
      <c r="W61" s="25"/>
      <c r="X61" s="25"/>
      <c r="Y61" s="25"/>
      <c r="Z61" s="25"/>
      <c r="AA61" s="25"/>
      <c r="AB61" s="25"/>
      <c r="AC61" s="25"/>
      <c r="AD61" s="25"/>
      <c r="AE61" s="25"/>
      <c r="AF61" s="25"/>
      <c r="AG61" s="25"/>
      <c r="AH61" s="25"/>
      <c r="AI61" s="57"/>
      <c r="AJ61" s="57">
        <v>47177607</v>
      </c>
      <c r="AK61" s="57">
        <v>63177607</v>
      </c>
      <c r="AL61" s="57">
        <v>76177607</v>
      </c>
      <c r="AM61" s="57"/>
      <c r="AN61" s="57">
        <v>57177607</v>
      </c>
      <c r="AO61" s="253"/>
      <c r="AP61" s="253"/>
      <c r="AQ61" s="253"/>
      <c r="AR61" s="253"/>
      <c r="AS61" s="253"/>
      <c r="AT61" s="25"/>
      <c r="AU61" s="25"/>
      <c r="AV61" s="25">
        <v>226712956.41999999</v>
      </c>
      <c r="AW61" s="57">
        <v>224712956.41999999</v>
      </c>
      <c r="AX61" s="277"/>
      <c r="AY61" s="196"/>
    </row>
    <row r="62" spans="1:51" s="9" customFormat="1" x14ac:dyDescent="0.25">
      <c r="A62" s="93" t="s">
        <v>240</v>
      </c>
      <c r="C62" s="229" t="s">
        <v>229</v>
      </c>
      <c r="D62" s="57"/>
      <c r="E62" s="57"/>
      <c r="F62" s="57"/>
      <c r="G62" s="57"/>
      <c r="H62" s="57"/>
      <c r="I62" s="57"/>
      <c r="J62" s="57"/>
      <c r="K62" s="57"/>
      <c r="L62" s="57"/>
      <c r="M62" s="25"/>
      <c r="N62" s="25"/>
      <c r="O62" s="25"/>
      <c r="P62" s="25"/>
      <c r="Q62" s="25"/>
      <c r="R62" s="253"/>
      <c r="S62" s="253"/>
      <c r="T62" s="253"/>
      <c r="U62" s="253"/>
      <c r="V62" s="253"/>
      <c r="W62" s="25"/>
      <c r="X62" s="25"/>
      <c r="Y62" s="25"/>
      <c r="Z62" s="25"/>
      <c r="AA62" s="25"/>
      <c r="AB62" s="25"/>
      <c r="AC62" s="25"/>
      <c r="AD62" s="25"/>
      <c r="AE62" s="25"/>
      <c r="AF62" s="25"/>
      <c r="AG62" s="25"/>
      <c r="AH62" s="25"/>
      <c r="AI62" s="57"/>
      <c r="AJ62" s="57">
        <v>65300000</v>
      </c>
      <c r="AK62" s="57">
        <v>65300000</v>
      </c>
      <c r="AL62" s="57">
        <v>83300000</v>
      </c>
      <c r="AM62" s="57"/>
      <c r="AN62" s="57">
        <v>83300000</v>
      </c>
      <c r="AO62" s="253"/>
      <c r="AP62" s="253"/>
      <c r="AQ62" s="253"/>
      <c r="AR62" s="253"/>
      <c r="AS62" s="253"/>
      <c r="AT62" s="25"/>
      <c r="AU62" s="25"/>
      <c r="AV62" s="57">
        <v>510000000</v>
      </c>
      <c r="AW62" s="57">
        <v>510000000</v>
      </c>
      <c r="AX62" s="277"/>
      <c r="AY62" s="196"/>
    </row>
    <row r="63" spans="1:51" s="9" customFormat="1" x14ac:dyDescent="0.25">
      <c r="A63" s="93" t="s">
        <v>167</v>
      </c>
      <c r="C63" s="229" t="s">
        <v>229</v>
      </c>
      <c r="D63" s="57"/>
      <c r="E63" s="57"/>
      <c r="F63" s="57"/>
      <c r="G63" s="57"/>
      <c r="H63" s="57"/>
      <c r="I63" s="57"/>
      <c r="J63" s="57"/>
      <c r="K63" s="57"/>
      <c r="L63" s="57"/>
      <c r="M63" s="25"/>
      <c r="N63" s="25"/>
      <c r="O63" s="25"/>
      <c r="P63" s="25"/>
      <c r="Q63" s="25"/>
      <c r="R63" s="253"/>
      <c r="S63" s="253"/>
      <c r="T63" s="253"/>
      <c r="U63" s="253"/>
      <c r="V63" s="253"/>
      <c r="W63" s="25"/>
      <c r="X63" s="25"/>
      <c r="Y63" s="25"/>
      <c r="Z63" s="25"/>
      <c r="AA63" s="25"/>
      <c r="AB63" s="25"/>
      <c r="AC63" s="25"/>
      <c r="AD63" s="25"/>
      <c r="AE63" s="25"/>
      <c r="AF63" s="25"/>
      <c r="AG63" s="25"/>
      <c r="AH63" s="25"/>
      <c r="AI63" s="57"/>
      <c r="AJ63" s="57"/>
      <c r="AK63" s="57"/>
      <c r="AL63" s="57"/>
      <c r="AM63" s="57"/>
      <c r="AN63" s="57"/>
      <c r="AO63" s="253"/>
      <c r="AP63" s="253"/>
      <c r="AQ63" s="253"/>
      <c r="AR63" s="253"/>
      <c r="AS63" s="253"/>
      <c r="AT63" s="25"/>
      <c r="AU63" s="25"/>
      <c r="AV63" s="25"/>
      <c r="AW63" s="57">
        <v>30000000</v>
      </c>
      <c r="AX63" s="277"/>
      <c r="AY63" s="196"/>
    </row>
    <row r="64" spans="1:51" s="9" customFormat="1" x14ac:dyDescent="0.25">
      <c r="A64" s="201" t="s">
        <v>685</v>
      </c>
      <c r="C64" s="229" t="s">
        <v>230</v>
      </c>
      <c r="D64" s="57"/>
      <c r="E64" s="57"/>
      <c r="F64" s="57"/>
      <c r="G64" s="57"/>
      <c r="H64" s="57"/>
      <c r="I64" s="57">
        <v>450594.96</v>
      </c>
      <c r="J64" s="57">
        <v>400825.19</v>
      </c>
      <c r="K64" s="57">
        <v>407642.16</v>
      </c>
      <c r="L64" s="57">
        <v>821048.64</v>
      </c>
      <c r="M64" s="25">
        <v>420003.74</v>
      </c>
      <c r="N64" s="25"/>
      <c r="O64" s="25"/>
      <c r="P64" s="25"/>
      <c r="Q64" s="25"/>
      <c r="R64" s="253"/>
      <c r="S64" s="253"/>
      <c r="T64" s="253"/>
      <c r="U64" s="253"/>
      <c r="V64" s="253"/>
      <c r="W64" s="25"/>
      <c r="X64" s="25"/>
      <c r="Y64" s="25"/>
      <c r="Z64" s="25"/>
      <c r="AA64" s="25"/>
      <c r="AB64" s="25"/>
      <c r="AC64" s="25"/>
      <c r="AD64" s="25"/>
      <c r="AE64" s="25"/>
      <c r="AF64" s="25"/>
      <c r="AG64" s="25"/>
      <c r="AH64" s="25"/>
      <c r="AI64" s="57"/>
      <c r="AJ64" s="57"/>
      <c r="AK64" s="57"/>
      <c r="AL64" s="57"/>
      <c r="AM64" s="57"/>
      <c r="AN64" s="57"/>
      <c r="AO64" s="253"/>
      <c r="AP64" s="253"/>
      <c r="AQ64" s="253"/>
      <c r="AR64" s="253"/>
      <c r="AS64" s="253"/>
      <c r="AT64" s="25"/>
      <c r="AU64" s="25"/>
      <c r="AV64" s="25"/>
      <c r="AW64" s="57"/>
      <c r="AX64" s="277"/>
      <c r="AY64" s="196"/>
    </row>
    <row r="65" spans="1:53" s="9" customFormat="1" x14ac:dyDescent="0.25">
      <c r="A65" s="201" t="s">
        <v>690</v>
      </c>
      <c r="C65" s="229" t="s">
        <v>230</v>
      </c>
      <c r="D65" s="57"/>
      <c r="E65" s="57"/>
      <c r="F65" s="57"/>
      <c r="G65" s="57"/>
      <c r="H65" s="57"/>
      <c r="I65" s="57"/>
      <c r="J65" s="57">
        <v>2172888.7400000002</v>
      </c>
      <c r="K65" s="57">
        <v>2776342.54</v>
      </c>
      <c r="L65" s="57">
        <v>6157290.8300000001</v>
      </c>
      <c r="M65" s="25">
        <v>2615432.27</v>
      </c>
      <c r="N65" s="25">
        <v>3099025.82</v>
      </c>
      <c r="O65" s="25">
        <v>1973937.83</v>
      </c>
      <c r="P65" s="25">
        <v>11787238.34</v>
      </c>
      <c r="Q65" s="25">
        <v>29626184.620000001</v>
      </c>
      <c r="R65" s="253"/>
      <c r="S65" s="253"/>
      <c r="T65" s="253"/>
      <c r="U65" s="253"/>
      <c r="V65" s="253"/>
      <c r="W65" s="25"/>
      <c r="X65" s="25"/>
      <c r="Y65" s="25"/>
      <c r="Z65" s="25"/>
      <c r="AA65" s="25"/>
      <c r="AB65" s="25"/>
      <c r="AC65" s="25"/>
      <c r="AD65" s="25"/>
      <c r="AE65" s="25"/>
      <c r="AF65" s="25"/>
      <c r="AG65" s="25"/>
      <c r="AH65" s="25"/>
      <c r="AI65" s="57"/>
      <c r="AJ65" s="57"/>
      <c r="AK65" s="57"/>
      <c r="AL65" s="57"/>
      <c r="AM65" s="57"/>
      <c r="AN65" s="57"/>
      <c r="AO65" s="253"/>
      <c r="AP65" s="253"/>
      <c r="AQ65" s="253"/>
      <c r="AR65" s="253"/>
      <c r="AS65" s="253"/>
      <c r="AT65" s="25"/>
      <c r="AU65" s="25"/>
      <c r="AV65" s="25"/>
      <c r="AW65" s="57"/>
      <c r="AX65" s="277"/>
      <c r="AY65" s="196"/>
    </row>
    <row r="66" spans="1:53" s="9" customFormat="1" x14ac:dyDescent="0.25">
      <c r="A66" s="201" t="s">
        <v>686</v>
      </c>
      <c r="C66" s="229" t="s">
        <v>230</v>
      </c>
      <c r="D66" s="57"/>
      <c r="E66" s="57"/>
      <c r="F66" s="57"/>
      <c r="G66" s="57"/>
      <c r="H66" s="57"/>
      <c r="I66" s="57">
        <v>2564743.89</v>
      </c>
      <c r="J66" s="57">
        <v>2555514.14</v>
      </c>
      <c r="K66" s="57">
        <v>1981961.05</v>
      </c>
      <c r="L66" s="57">
        <v>1017250.6</v>
      </c>
      <c r="M66" s="25">
        <v>220052.8</v>
      </c>
      <c r="N66" s="25">
        <v>1301784.1299999999</v>
      </c>
      <c r="O66" s="25">
        <v>4593849.76</v>
      </c>
      <c r="P66" s="25">
        <v>3743896.21</v>
      </c>
      <c r="Q66" s="25">
        <v>3839754.29</v>
      </c>
      <c r="R66" s="253"/>
      <c r="S66" s="253"/>
      <c r="T66" s="253"/>
      <c r="U66" s="253"/>
      <c r="V66" s="253"/>
      <c r="W66" s="25"/>
      <c r="X66" s="25"/>
      <c r="Y66" s="25"/>
      <c r="Z66" s="25"/>
      <c r="AA66" s="25"/>
      <c r="AB66" s="25"/>
      <c r="AC66" s="25"/>
      <c r="AD66" s="25"/>
      <c r="AE66" s="25"/>
      <c r="AF66" s="25"/>
      <c r="AG66" s="25"/>
      <c r="AH66" s="25"/>
      <c r="AI66" s="57"/>
      <c r="AJ66" s="57"/>
      <c r="AK66" s="57"/>
      <c r="AL66" s="57"/>
      <c r="AM66" s="57"/>
      <c r="AN66" s="57"/>
      <c r="AO66" s="253"/>
      <c r="AP66" s="253"/>
      <c r="AQ66" s="253"/>
      <c r="AR66" s="253"/>
      <c r="AS66" s="253"/>
      <c r="AT66" s="25"/>
      <c r="AU66" s="25"/>
      <c r="AV66" s="25"/>
      <c r="AW66" s="57"/>
      <c r="AX66" s="277"/>
      <c r="AY66" s="196"/>
    </row>
    <row r="67" spans="1:53" s="3" customFormat="1" x14ac:dyDescent="0.25">
      <c r="A67" s="59" t="s">
        <v>39</v>
      </c>
      <c r="B67" s="23"/>
      <c r="C67" s="229"/>
      <c r="D67" s="257">
        <v>6000000</v>
      </c>
      <c r="E67" s="257">
        <v>14500000</v>
      </c>
      <c r="F67" s="257">
        <v>14410000</v>
      </c>
      <c r="G67" s="254">
        <v>21540708</v>
      </c>
      <c r="H67" s="254">
        <v>44342678.859999999</v>
      </c>
      <c r="I67" s="254">
        <v>60696026.509999998</v>
      </c>
      <c r="J67" s="254">
        <v>70699724.109999999</v>
      </c>
      <c r="K67" s="254">
        <v>69633172.13000001</v>
      </c>
      <c r="L67" s="254">
        <v>68501722.030000001</v>
      </c>
      <c r="M67" s="254">
        <v>62986687.400000006</v>
      </c>
      <c r="N67" s="254">
        <v>55203305.020000003</v>
      </c>
      <c r="O67" s="254">
        <v>55167997.459999993</v>
      </c>
      <c r="P67" s="254">
        <v>70704570.61999999</v>
      </c>
      <c r="Q67" s="254">
        <v>112823040.80000001</v>
      </c>
      <c r="R67" s="247"/>
      <c r="S67" s="247"/>
      <c r="T67" s="247"/>
      <c r="U67" s="247"/>
      <c r="V67" s="247"/>
      <c r="W67" s="254">
        <f t="shared" ref="W67" si="16">SUM(W52:W53,W55,W57,W59:W66)</f>
        <v>62084788</v>
      </c>
      <c r="X67" s="254">
        <f t="shared" ref="X67" si="17">SUM(X52:X53,X55,X57,X59:X66)</f>
        <v>76442325</v>
      </c>
      <c r="Y67" s="254">
        <f t="shared" ref="Y67" si="18">SUM(Y52:Y53,Y55,Y57,Y59:Y66)</f>
        <v>94595383</v>
      </c>
      <c r="Z67" s="254">
        <f t="shared" ref="Z67" si="19">SUM(Z52:Z53,Z55,Z57,Z59:Z66)</f>
        <v>84788252</v>
      </c>
      <c r="AA67" s="254">
        <f t="shared" ref="AA67" si="20">SUM(AA52:AA53,AA55,AA57,AA59:AA66)</f>
        <v>86669532</v>
      </c>
      <c r="AB67" s="254">
        <f t="shared" ref="AB67" si="21">SUM(AB52:AB53,AB55,AB57,AB59:AB66)</f>
        <v>91975007</v>
      </c>
      <c r="AC67" s="254">
        <f t="shared" ref="AC67" si="22">SUM(AC52:AC53,AC55,AC57,AC59:AC66)</f>
        <v>100775850</v>
      </c>
      <c r="AD67" s="254">
        <f t="shared" ref="AD67" si="23">SUM(AD52:AD53,AD55,AD57,AD59:AD66)</f>
        <v>97922396</v>
      </c>
      <c r="AE67" s="254">
        <f t="shared" ref="AE67" si="24">SUM(AE52:AE53,AE55,AE57,AE59:AE66)</f>
        <v>89134103</v>
      </c>
      <c r="AF67" s="254">
        <f t="shared" ref="AF67" si="25">SUM(AF52:AF53,AF55,AF57,AF59:AF66)</f>
        <v>82295818</v>
      </c>
      <c r="AG67" s="254">
        <f t="shared" ref="AG67" si="26">SUM(AG52:AG53,AG55,AG57,AG59:AG66)</f>
        <v>89036354</v>
      </c>
      <c r="AH67" s="254">
        <f t="shared" ref="AH67" si="27">SUM(AH52:AH53,AH55,AH57,AH59:AH66)</f>
        <v>91223041</v>
      </c>
      <c r="AI67" s="254">
        <f t="shared" ref="AI67" si="28">SUM(AI52:AI53,AI55,AI57,AI59:AI66)</f>
        <v>106369706</v>
      </c>
      <c r="AJ67" s="254">
        <f t="shared" ref="AJ67" si="29">SUM(AJ52:AJ53,AJ55,AJ57,AJ59:AJ66)</f>
        <v>132155000</v>
      </c>
      <c r="AK67" s="254">
        <f t="shared" ref="AK67" si="30">SUM(AK52:AK53,AK55,AK57,AK59:AK66)</f>
        <v>145333275</v>
      </c>
      <c r="AL67" s="254">
        <f t="shared" ref="AL67" si="31">SUM(AL52:AL53,AL55,AL57,AL59:AL66)</f>
        <v>174763462</v>
      </c>
      <c r="AM67" s="254">
        <f t="shared" ref="AM67" si="32">SUM(AM52:AM53,AM55,AM57,AM59:AM66)</f>
        <v>162078886</v>
      </c>
      <c r="AN67" s="254">
        <f t="shared" ref="AN67" si="33">SUM(AN52:AN53,AN55,AN57,AN59:AN66)</f>
        <v>155827602</v>
      </c>
      <c r="AO67" s="247"/>
      <c r="AP67" s="247"/>
      <c r="AQ67" s="247"/>
      <c r="AR67" s="247"/>
      <c r="AS67" s="247"/>
      <c r="AT67" s="254"/>
      <c r="AU67" s="254"/>
      <c r="AV67" s="254">
        <f t="shared" ref="AV67:AW67" si="34">SUM(AV52:AV53,AV55,AV57,AV59:AV66)</f>
        <v>747769742.91999996</v>
      </c>
      <c r="AW67" s="254">
        <f t="shared" si="34"/>
        <v>775891948.41999996</v>
      </c>
      <c r="AX67" s="279"/>
      <c r="AY67" s="197"/>
    </row>
    <row r="68" spans="1:53" s="3" customFormat="1" x14ac:dyDescent="0.25">
      <c r="A68" s="59"/>
      <c r="B68" s="23"/>
      <c r="C68" s="229"/>
      <c r="D68" s="57"/>
      <c r="E68" s="254"/>
      <c r="F68" s="254"/>
      <c r="G68" s="254"/>
      <c r="H68" s="254"/>
      <c r="I68" s="254"/>
      <c r="J68" s="254"/>
      <c r="K68" s="254"/>
      <c r="L68" s="254"/>
      <c r="M68" s="254"/>
      <c r="N68" s="7"/>
      <c r="O68" s="7"/>
      <c r="P68" s="7"/>
      <c r="Q68" s="7"/>
      <c r="R68" s="247"/>
      <c r="S68" s="247"/>
      <c r="T68" s="247"/>
      <c r="U68" s="247"/>
      <c r="V68" s="247"/>
      <c r="W68" s="7"/>
      <c r="X68" s="7"/>
      <c r="Y68" s="7"/>
      <c r="Z68" s="7"/>
      <c r="AA68" s="7"/>
      <c r="AB68" s="7"/>
      <c r="AC68" s="7"/>
      <c r="AD68" s="7"/>
      <c r="AE68" s="7"/>
      <c r="AF68" s="7"/>
      <c r="AG68" s="7"/>
      <c r="AH68" s="7"/>
      <c r="AI68" s="254"/>
      <c r="AJ68" s="254"/>
      <c r="AK68" s="254"/>
      <c r="AL68" s="254"/>
      <c r="AM68" s="254"/>
      <c r="AN68" s="254"/>
      <c r="AO68" s="247"/>
      <c r="AP68" s="247"/>
      <c r="AQ68" s="247"/>
      <c r="AR68" s="247"/>
      <c r="AS68" s="247"/>
      <c r="AT68" s="7"/>
      <c r="AU68" s="7"/>
      <c r="AV68" s="7"/>
      <c r="AW68" s="7"/>
      <c r="AX68" s="279"/>
      <c r="AY68" s="197"/>
    </row>
    <row r="69" spans="1:53" s="8" customFormat="1" x14ac:dyDescent="0.25">
      <c r="A69" s="85" t="s">
        <v>13</v>
      </c>
      <c r="B69" s="30"/>
      <c r="C69" s="229"/>
      <c r="D69" s="218"/>
      <c r="E69" s="257"/>
      <c r="F69" s="257"/>
      <c r="G69" s="257"/>
      <c r="H69" s="257"/>
      <c r="I69" s="257"/>
      <c r="J69" s="257"/>
      <c r="K69" s="257"/>
      <c r="L69" s="257"/>
      <c r="M69" s="257"/>
      <c r="N69" s="256"/>
      <c r="O69" s="256"/>
      <c r="P69" s="256"/>
      <c r="Q69" s="256"/>
      <c r="R69" s="255"/>
      <c r="S69" s="255"/>
      <c r="T69" s="255"/>
      <c r="U69" s="255"/>
      <c r="V69" s="255"/>
      <c r="W69" s="256"/>
      <c r="X69" s="256"/>
      <c r="Y69" s="256"/>
      <c r="Z69" s="256"/>
      <c r="AA69" s="256"/>
      <c r="AB69" s="256"/>
      <c r="AC69" s="256"/>
      <c r="AD69" s="256"/>
      <c r="AE69" s="256"/>
      <c r="AF69" s="256"/>
      <c r="AG69" s="256"/>
      <c r="AH69" s="256"/>
      <c r="AI69" s="257"/>
      <c r="AJ69" s="257"/>
      <c r="AK69" s="257"/>
      <c r="AL69" s="257"/>
      <c r="AM69" s="257"/>
      <c r="AN69" s="257"/>
      <c r="AO69" s="255"/>
      <c r="AP69" s="255"/>
      <c r="AQ69" s="255"/>
      <c r="AR69" s="255"/>
      <c r="AS69" s="255"/>
      <c r="AT69" s="256"/>
      <c r="AU69" s="256"/>
      <c r="AV69" s="256"/>
      <c r="AW69" s="256"/>
      <c r="AX69" s="279"/>
      <c r="AY69" s="197"/>
    </row>
    <row r="70" spans="1:53" s="272" customFormat="1" x14ac:dyDescent="0.25">
      <c r="A70" s="216" t="s">
        <v>184</v>
      </c>
      <c r="B70" s="102"/>
      <c r="C70" s="229" t="s">
        <v>249</v>
      </c>
      <c r="D70" s="269">
        <v>6000000</v>
      </c>
      <c r="E70" s="62">
        <v>1450000</v>
      </c>
      <c r="F70" s="62">
        <v>14410000</v>
      </c>
      <c r="G70" s="62">
        <v>21540708</v>
      </c>
      <c r="H70" s="62">
        <v>44342678.859999999</v>
      </c>
      <c r="I70" s="269">
        <v>60696026.509999998</v>
      </c>
      <c r="J70" s="269">
        <v>70699724.109999999</v>
      </c>
      <c r="K70" s="269">
        <v>69633172.13000001</v>
      </c>
      <c r="L70" s="269">
        <v>68501722.030000001</v>
      </c>
      <c r="M70" s="269">
        <v>62986687.400000006</v>
      </c>
      <c r="N70" s="270">
        <v>55203305.020000003</v>
      </c>
      <c r="O70" s="270">
        <v>55167997.459999993</v>
      </c>
      <c r="P70" s="270">
        <v>70704570.61999999</v>
      </c>
      <c r="Q70" s="270">
        <v>112823040.80000001</v>
      </c>
      <c r="R70" s="271"/>
      <c r="S70" s="271"/>
      <c r="T70" s="271"/>
      <c r="U70" s="271"/>
      <c r="V70" s="271"/>
      <c r="W70" s="270">
        <v>62084788</v>
      </c>
      <c r="X70" s="270">
        <v>76442325</v>
      </c>
      <c r="Y70" s="270">
        <v>94595383</v>
      </c>
      <c r="Z70" s="270">
        <v>84788252</v>
      </c>
      <c r="AA70" s="270">
        <v>86669532</v>
      </c>
      <c r="AB70" s="270">
        <v>91975007</v>
      </c>
      <c r="AC70" s="270">
        <v>100775850</v>
      </c>
      <c r="AD70" s="270">
        <v>97922396</v>
      </c>
      <c r="AE70" s="270">
        <v>89134103</v>
      </c>
      <c r="AF70" s="270">
        <v>82295818</v>
      </c>
      <c r="AG70" s="270">
        <v>89036354</v>
      </c>
      <c r="AH70" s="270">
        <v>91223041</v>
      </c>
      <c r="AI70" s="270">
        <v>106369706</v>
      </c>
      <c r="AJ70" s="270">
        <v>132155000.09</v>
      </c>
      <c r="AK70" s="270">
        <v>145333275</v>
      </c>
      <c r="AL70" s="270">
        <v>174763462</v>
      </c>
      <c r="AM70" s="270">
        <v>162078886</v>
      </c>
      <c r="AN70" s="270">
        <v>155827602</v>
      </c>
      <c r="AO70" s="271"/>
      <c r="AP70" s="271"/>
      <c r="AQ70" s="271"/>
      <c r="AR70" s="271"/>
      <c r="AS70" s="271"/>
      <c r="AT70" s="270"/>
      <c r="AU70" s="270"/>
      <c r="AV70" s="270">
        <v>747769742.91999996</v>
      </c>
      <c r="AW70" s="270">
        <v>775891948.41999996</v>
      </c>
      <c r="AX70" s="277"/>
      <c r="AY70" s="196"/>
    </row>
    <row r="71" spans="1:53" s="8" customFormat="1" x14ac:dyDescent="0.25">
      <c r="A71" s="85" t="s">
        <v>115</v>
      </c>
      <c r="B71" s="30"/>
      <c r="C71" s="229"/>
      <c r="D71" s="257">
        <v>6000000</v>
      </c>
      <c r="E71" s="257">
        <v>1450000</v>
      </c>
      <c r="F71" s="257">
        <v>14410000</v>
      </c>
      <c r="G71" s="257">
        <v>21540708</v>
      </c>
      <c r="H71" s="257">
        <v>44342678.859999999</v>
      </c>
      <c r="I71" s="257">
        <v>60696026.509999998</v>
      </c>
      <c r="J71" s="257">
        <v>70699724.109999999</v>
      </c>
      <c r="K71" s="257">
        <v>69633172.13000001</v>
      </c>
      <c r="L71" s="257">
        <v>68501722.030000001</v>
      </c>
      <c r="M71" s="257">
        <v>31568431</v>
      </c>
      <c r="N71" s="256">
        <v>33898721.600000001</v>
      </c>
      <c r="O71" s="256">
        <v>31113220</v>
      </c>
      <c r="P71" s="256">
        <v>42750000</v>
      </c>
      <c r="Q71" s="256">
        <v>70137150</v>
      </c>
      <c r="R71" s="255"/>
      <c r="S71" s="255"/>
      <c r="T71" s="255"/>
      <c r="U71" s="255"/>
      <c r="V71" s="255"/>
      <c r="W71" s="256">
        <v>62084788</v>
      </c>
      <c r="X71" s="256">
        <v>76442325</v>
      </c>
      <c r="Y71" s="256">
        <v>94595383</v>
      </c>
      <c r="Z71" s="256">
        <v>84788252</v>
      </c>
      <c r="AA71" s="256">
        <v>86669532</v>
      </c>
      <c r="AB71" s="256">
        <v>91975007</v>
      </c>
      <c r="AC71" s="256">
        <v>100775850</v>
      </c>
      <c r="AD71" s="256">
        <v>97922396</v>
      </c>
      <c r="AE71" s="256">
        <v>89134103</v>
      </c>
      <c r="AF71" s="256">
        <v>82295818</v>
      </c>
      <c r="AG71" s="256">
        <v>89036354</v>
      </c>
      <c r="AH71" s="256">
        <v>91223041</v>
      </c>
      <c r="AI71" s="256">
        <v>106369706</v>
      </c>
      <c r="AJ71" s="256">
        <v>132155000.09</v>
      </c>
      <c r="AK71" s="256">
        <v>145333275</v>
      </c>
      <c r="AL71" s="256">
        <v>174763462</v>
      </c>
      <c r="AM71" s="256">
        <v>162078886</v>
      </c>
      <c r="AN71" s="256">
        <v>155827602</v>
      </c>
      <c r="AO71" s="255"/>
      <c r="AP71" s="255"/>
      <c r="AQ71" s="255"/>
      <c r="AR71" s="255"/>
      <c r="AS71" s="255"/>
      <c r="AT71" s="256"/>
      <c r="AU71" s="256"/>
      <c r="AV71" s="256">
        <v>747769742.91999996</v>
      </c>
      <c r="AW71" s="256">
        <v>775891948.41999996</v>
      </c>
      <c r="AX71" s="279"/>
      <c r="AY71" s="197"/>
    </row>
    <row r="72" spans="1:53" x14ac:dyDescent="0.25">
      <c r="A72" s="59"/>
      <c r="C72" s="229"/>
      <c r="D72" s="57"/>
      <c r="E72" s="62"/>
      <c r="F72" s="62"/>
      <c r="G72" s="62"/>
      <c r="H72" s="62"/>
      <c r="I72" s="62"/>
      <c r="J72" s="62"/>
      <c r="K72" s="62"/>
      <c r="L72" s="62"/>
      <c r="R72" s="248"/>
      <c r="S72" s="248"/>
      <c r="T72" s="248"/>
      <c r="U72" s="248"/>
      <c r="V72" s="248"/>
      <c r="AI72" s="62"/>
      <c r="AJ72" s="62"/>
      <c r="AK72" s="62"/>
      <c r="AL72" s="62"/>
      <c r="AM72" s="62"/>
      <c r="AN72" s="62"/>
      <c r="AO72" s="248"/>
      <c r="AP72" s="248"/>
      <c r="AQ72" s="248"/>
      <c r="AR72" s="248"/>
      <c r="AS72" s="248"/>
      <c r="AX72" s="277"/>
      <c r="AY72" s="196"/>
    </row>
    <row r="73" spans="1:53" s="9" customFormat="1" x14ac:dyDescent="0.25">
      <c r="A73" s="93" t="s">
        <v>200</v>
      </c>
      <c r="B73" s="31"/>
      <c r="C73" s="229"/>
      <c r="D73" s="57"/>
      <c r="E73" s="57"/>
      <c r="F73" s="57"/>
      <c r="G73" s="57"/>
      <c r="H73" s="57"/>
      <c r="I73" s="57"/>
      <c r="J73" s="57"/>
      <c r="K73" s="57"/>
      <c r="L73" s="57"/>
      <c r="M73" s="25"/>
      <c r="N73" s="25"/>
      <c r="O73" s="25"/>
      <c r="P73" s="25"/>
      <c r="Q73" s="25"/>
      <c r="R73" s="248"/>
      <c r="S73" s="248"/>
      <c r="T73" s="248"/>
      <c r="U73" s="248"/>
      <c r="V73" s="248"/>
      <c r="W73" s="25"/>
      <c r="X73" s="25"/>
      <c r="Y73" s="25"/>
      <c r="Z73" s="25"/>
      <c r="AA73" s="25"/>
      <c r="AB73" s="25"/>
      <c r="AC73" s="25"/>
      <c r="AD73" s="25"/>
      <c r="AE73" s="25"/>
      <c r="AF73" s="25"/>
      <c r="AG73" s="25"/>
      <c r="AH73" s="25"/>
      <c r="AI73" s="57"/>
      <c r="AJ73" s="57"/>
      <c r="AK73" s="57"/>
      <c r="AL73" s="57"/>
      <c r="AM73" s="57"/>
      <c r="AN73" s="57"/>
      <c r="AO73" s="253"/>
      <c r="AP73" s="253"/>
      <c r="AQ73" s="253"/>
      <c r="AR73" s="253"/>
      <c r="AS73" s="253"/>
      <c r="AT73" s="25"/>
      <c r="AU73" s="25"/>
      <c r="AV73" s="25">
        <v>35407213.5</v>
      </c>
      <c r="AW73" s="25">
        <v>55285007.579999998</v>
      </c>
      <c r="AX73" s="277"/>
      <c r="AY73" s="196"/>
    </row>
    <row r="74" spans="1:53" s="9" customFormat="1" x14ac:dyDescent="0.25">
      <c r="A74" s="93" t="s">
        <v>204</v>
      </c>
      <c r="B74" s="31"/>
      <c r="C74" s="229"/>
      <c r="D74" s="57"/>
      <c r="E74" s="57"/>
      <c r="F74" s="57"/>
      <c r="G74" s="57"/>
      <c r="H74" s="57"/>
      <c r="I74" s="57"/>
      <c r="J74" s="57"/>
      <c r="K74" s="57"/>
      <c r="L74" s="57"/>
      <c r="M74" s="25"/>
      <c r="N74" s="25"/>
      <c r="O74" s="25"/>
      <c r="P74" s="25"/>
      <c r="Q74" s="25"/>
      <c r="R74" s="248"/>
      <c r="S74" s="248"/>
      <c r="T74" s="248"/>
      <c r="U74" s="248"/>
      <c r="V74" s="248"/>
      <c r="W74" s="25"/>
      <c r="X74" s="25"/>
      <c r="Y74" s="25"/>
      <c r="Z74" s="25"/>
      <c r="AA74" s="25"/>
      <c r="AB74" s="25"/>
      <c r="AC74" s="25"/>
      <c r="AD74" s="25"/>
      <c r="AE74" s="25"/>
      <c r="AF74" s="25"/>
      <c r="AG74" s="25"/>
      <c r="AH74" s="25"/>
      <c r="AI74" s="57"/>
      <c r="AJ74" s="57"/>
      <c r="AK74" s="57"/>
      <c r="AL74" s="57"/>
      <c r="AM74" s="57"/>
      <c r="AN74" s="57"/>
      <c r="AO74" s="253"/>
      <c r="AP74" s="253"/>
      <c r="AQ74" s="253"/>
      <c r="AR74" s="253"/>
      <c r="AS74" s="253"/>
      <c r="AT74" s="25"/>
      <c r="AU74" s="25"/>
      <c r="AV74" s="25"/>
      <c r="AW74" s="25"/>
      <c r="AX74" s="277"/>
      <c r="AY74" s="196"/>
    </row>
    <row r="75" spans="1:53" x14ac:dyDescent="0.25">
      <c r="C75" s="229"/>
      <c r="D75" s="57"/>
      <c r="E75" s="62"/>
      <c r="F75" s="62"/>
      <c r="G75" s="62"/>
      <c r="H75" s="62"/>
      <c r="I75" s="62"/>
      <c r="J75" s="62"/>
      <c r="K75" s="62"/>
      <c r="L75" s="62"/>
      <c r="R75" s="248"/>
      <c r="S75" s="248"/>
      <c r="T75" s="248"/>
      <c r="U75" s="248"/>
      <c r="V75" s="248"/>
      <c r="AI75" s="62"/>
      <c r="AJ75" s="62"/>
      <c r="AK75" s="62"/>
      <c r="AL75" s="62"/>
      <c r="AM75" s="62"/>
      <c r="AN75" s="62"/>
      <c r="AO75" s="248"/>
      <c r="AP75" s="248"/>
      <c r="AQ75" s="248"/>
      <c r="AR75" s="248"/>
      <c r="AS75" s="248"/>
      <c r="AX75" s="277"/>
      <c r="AY75" s="196"/>
    </row>
    <row r="76" spans="1:53" s="8" customFormat="1" x14ac:dyDescent="0.25">
      <c r="A76" s="30" t="s">
        <v>25</v>
      </c>
      <c r="B76" s="30"/>
      <c r="C76" s="229"/>
      <c r="D76" s="256">
        <f>D67-SUM(D52:D53,D55,D57,D59:D66)</f>
        <v>0</v>
      </c>
      <c r="E76" s="256">
        <f t="shared" ref="E76:Q76" si="35">E67-SUM(E52:E53,E55,E57,E59:E66)</f>
        <v>0</v>
      </c>
      <c r="F76" s="256">
        <f t="shared" si="35"/>
        <v>0</v>
      </c>
      <c r="G76" s="256">
        <f t="shared" si="35"/>
        <v>0</v>
      </c>
      <c r="H76" s="256">
        <f t="shared" si="35"/>
        <v>0</v>
      </c>
      <c r="I76" s="256">
        <f t="shared" si="35"/>
        <v>0</v>
      </c>
      <c r="J76" s="256">
        <f t="shared" si="35"/>
        <v>0</v>
      </c>
      <c r="K76" s="256">
        <f t="shared" si="35"/>
        <v>0</v>
      </c>
      <c r="L76" s="256">
        <f t="shared" si="35"/>
        <v>0</v>
      </c>
      <c r="M76" s="256">
        <f t="shared" si="35"/>
        <v>0</v>
      </c>
      <c r="N76" s="256">
        <f t="shared" si="35"/>
        <v>0</v>
      </c>
      <c r="O76" s="256">
        <f t="shared" si="35"/>
        <v>0</v>
      </c>
      <c r="P76" s="256">
        <f t="shared" si="35"/>
        <v>0</v>
      </c>
      <c r="Q76" s="256">
        <f t="shared" si="35"/>
        <v>0</v>
      </c>
      <c r="R76" s="248"/>
      <c r="S76" s="248"/>
      <c r="T76" s="248"/>
      <c r="U76" s="248"/>
      <c r="V76" s="248"/>
      <c r="W76" s="256">
        <f t="shared" ref="W76:AN76" si="36">W67-SUM(W52:W53,W55,W57,W59:W66)</f>
        <v>0</v>
      </c>
      <c r="X76" s="256">
        <f t="shared" si="36"/>
        <v>0</v>
      </c>
      <c r="Y76" s="256">
        <f t="shared" si="36"/>
        <v>0</v>
      </c>
      <c r="Z76" s="256">
        <f t="shared" si="36"/>
        <v>0</v>
      </c>
      <c r="AA76" s="256">
        <f t="shared" si="36"/>
        <v>0</v>
      </c>
      <c r="AB76" s="256">
        <f t="shared" si="36"/>
        <v>0</v>
      </c>
      <c r="AC76" s="256">
        <f t="shared" si="36"/>
        <v>0</v>
      </c>
      <c r="AD76" s="256">
        <f t="shared" si="36"/>
        <v>0</v>
      </c>
      <c r="AE76" s="256">
        <f t="shared" si="36"/>
        <v>0</v>
      </c>
      <c r="AF76" s="256">
        <f t="shared" si="36"/>
        <v>0</v>
      </c>
      <c r="AG76" s="256">
        <f t="shared" si="36"/>
        <v>0</v>
      </c>
      <c r="AH76" s="256">
        <f t="shared" si="36"/>
        <v>0</v>
      </c>
      <c r="AI76" s="256">
        <f t="shared" si="36"/>
        <v>0</v>
      </c>
      <c r="AJ76" s="256">
        <f t="shared" si="36"/>
        <v>0</v>
      </c>
      <c r="AK76" s="256">
        <f t="shared" si="36"/>
        <v>0</v>
      </c>
      <c r="AL76" s="256">
        <f t="shared" si="36"/>
        <v>0</v>
      </c>
      <c r="AM76" s="256">
        <f t="shared" si="36"/>
        <v>0</v>
      </c>
      <c r="AN76" s="256">
        <f t="shared" si="36"/>
        <v>0</v>
      </c>
      <c r="AO76" s="248"/>
      <c r="AP76" s="248"/>
      <c r="AQ76" s="248"/>
      <c r="AR76" s="248"/>
      <c r="AS76" s="248"/>
      <c r="AT76" s="256">
        <f t="shared" ref="AT76:AW76" si="37">AT67-SUM(AT52:AT53,AT55,AT57,AT59:AT66)</f>
        <v>0</v>
      </c>
      <c r="AU76" s="256">
        <f t="shared" si="37"/>
        <v>0</v>
      </c>
      <c r="AV76" s="256">
        <f t="shared" si="37"/>
        <v>0</v>
      </c>
      <c r="AW76" s="256">
        <f t="shared" si="37"/>
        <v>0</v>
      </c>
      <c r="AX76" s="279"/>
      <c r="AY76" s="197"/>
    </row>
    <row r="77" spans="1:53" x14ac:dyDescent="0.25">
      <c r="C77" s="229"/>
      <c r="D77" s="218"/>
      <c r="E77" s="257"/>
      <c r="F77" s="257"/>
      <c r="G77" s="257"/>
      <c r="H77" s="257"/>
      <c r="I77" s="257"/>
      <c r="J77" s="257"/>
      <c r="K77" s="257"/>
      <c r="L77" s="257"/>
      <c r="R77" s="248"/>
      <c r="S77" s="248"/>
      <c r="T77" s="248"/>
      <c r="U77" s="248"/>
      <c r="V77" s="248"/>
      <c r="AO77" s="248"/>
      <c r="AP77" s="248"/>
      <c r="AQ77" s="248"/>
      <c r="AR77" s="248"/>
      <c r="AS77" s="248"/>
      <c r="AX77" s="277"/>
      <c r="AY77" s="196"/>
    </row>
    <row r="78" spans="1:53" s="86" customFormat="1" ht="15" customHeight="1" x14ac:dyDescent="0.25">
      <c r="A78" s="90"/>
      <c r="B78" s="90"/>
      <c r="C78" s="226"/>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75"/>
    </row>
    <row r="79" spans="1:53" s="38" customFormat="1" ht="15" customHeight="1" x14ac:dyDescent="0.25">
      <c r="A79" s="38" t="s">
        <v>201</v>
      </c>
      <c r="C79" s="227"/>
      <c r="D79" s="79" t="s">
        <v>554</v>
      </c>
      <c r="E79" s="79" t="s">
        <v>555</v>
      </c>
      <c r="F79" s="78" t="s">
        <v>547</v>
      </c>
      <c r="G79" s="78" t="s">
        <v>548</v>
      </c>
      <c r="H79" s="78" t="s">
        <v>549</v>
      </c>
      <c r="I79" s="78" t="s">
        <v>550</v>
      </c>
      <c r="J79" s="80" t="s">
        <v>551</v>
      </c>
      <c r="K79" s="99" t="s">
        <v>698</v>
      </c>
      <c r="L79" s="99" t="s">
        <v>698</v>
      </c>
      <c r="M79" s="41"/>
      <c r="N79" s="41"/>
      <c r="O79" s="41"/>
      <c r="P79" s="41"/>
      <c r="Q79" s="41"/>
      <c r="R79" s="41"/>
      <c r="S79" s="41"/>
      <c r="T79" s="41"/>
      <c r="U79" s="41"/>
      <c r="V79" s="41"/>
      <c r="W79" s="41"/>
      <c r="X79" s="41"/>
      <c r="Y79" s="41"/>
      <c r="Z79" s="41"/>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80"/>
      <c r="AY79" s="265"/>
      <c r="AZ79" s="38" t="s">
        <v>552</v>
      </c>
      <c r="BA79" s="38" t="s">
        <v>553</v>
      </c>
    </row>
    <row r="80" spans="1:53" s="29" customFormat="1" ht="15" customHeight="1" x14ac:dyDescent="0.25">
      <c r="A80" s="23" t="s">
        <v>45</v>
      </c>
      <c r="B80" s="23"/>
      <c r="C80" s="229"/>
      <c r="D80" s="241"/>
      <c r="E80" s="241"/>
      <c r="F80" s="241"/>
      <c r="G80" s="241"/>
      <c r="H80" s="241"/>
      <c r="I80" s="241"/>
      <c r="J80" s="241"/>
      <c r="K80" s="248"/>
      <c r="L80" s="248"/>
      <c r="M80" s="248"/>
      <c r="N80" s="248"/>
      <c r="O80" s="248"/>
      <c r="P80" s="248"/>
      <c r="Q80" s="248"/>
      <c r="R80" s="248"/>
      <c r="S80" s="248"/>
      <c r="T80" s="248"/>
      <c r="U80" s="248"/>
      <c r="V80" s="248"/>
      <c r="W80" s="248"/>
      <c r="X80" s="248"/>
      <c r="Y80" s="248"/>
      <c r="Z80" s="248"/>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75"/>
      <c r="AY80" s="86"/>
    </row>
    <row r="81" spans="1:53" s="21" customFormat="1" ht="15" customHeight="1" x14ac:dyDescent="0.25">
      <c r="A81" s="24" t="s">
        <v>131</v>
      </c>
      <c r="B81" s="23"/>
      <c r="C81" s="229"/>
      <c r="D81" s="7"/>
      <c r="E81" s="7"/>
      <c r="F81" s="7"/>
      <c r="G81" s="7"/>
      <c r="H81" s="7"/>
      <c r="I81" s="7"/>
      <c r="J81" s="25"/>
      <c r="K81" s="248"/>
      <c r="L81" s="248"/>
      <c r="M81" s="248"/>
      <c r="N81" s="248"/>
      <c r="O81" s="248"/>
      <c r="P81" s="248"/>
      <c r="Q81" s="248"/>
      <c r="R81" s="248"/>
      <c r="S81" s="248"/>
      <c r="T81" s="248"/>
      <c r="U81" s="248"/>
      <c r="V81" s="248"/>
      <c r="W81" s="248"/>
      <c r="X81" s="248"/>
      <c r="Y81" s="248"/>
      <c r="Z81" s="248"/>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81"/>
      <c r="AY81" s="92"/>
    </row>
    <row r="82" spans="1:53" s="33" customFormat="1" x14ac:dyDescent="0.25">
      <c r="A82" s="101"/>
      <c r="B82" s="32" t="s">
        <v>33</v>
      </c>
      <c r="C82" s="229" t="s">
        <v>651</v>
      </c>
      <c r="D82" s="250">
        <v>799527.09</v>
      </c>
      <c r="E82" s="250">
        <v>869439.82</v>
      </c>
      <c r="F82" s="250">
        <v>242022.51</v>
      </c>
      <c r="G82" s="250">
        <v>-124602.27</v>
      </c>
      <c r="H82" s="250">
        <v>-803213.35</v>
      </c>
      <c r="I82" s="250">
        <v>2426704.66</v>
      </c>
      <c r="J82" s="250">
        <v>-304000</v>
      </c>
      <c r="K82" s="248"/>
      <c r="L82" s="248"/>
      <c r="M82" s="248"/>
      <c r="N82" s="248"/>
      <c r="O82" s="248"/>
      <c r="P82" s="248"/>
      <c r="Q82" s="248"/>
      <c r="R82" s="248"/>
      <c r="S82" s="248"/>
      <c r="T82" s="248"/>
      <c r="U82" s="248"/>
      <c r="V82" s="248"/>
      <c r="W82" s="248"/>
      <c r="X82" s="248"/>
      <c r="Y82" s="248"/>
      <c r="Z82" s="248"/>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77"/>
      <c r="AY82" s="196"/>
      <c r="AZ82" s="33">
        <v>-782000</v>
      </c>
      <c r="BA82" s="33">
        <v>-1819000</v>
      </c>
    </row>
    <row r="83" spans="1:53" s="35" customFormat="1" x14ac:dyDescent="0.25">
      <c r="A83" s="84"/>
      <c r="B83" s="28" t="s">
        <v>242</v>
      </c>
      <c r="C83" s="229" t="s">
        <v>229</v>
      </c>
      <c r="D83" s="34">
        <v>1599054.18</v>
      </c>
      <c r="E83" s="34">
        <v>1738879.64</v>
      </c>
      <c r="F83" s="34">
        <v>484045.02</v>
      </c>
      <c r="G83" s="34">
        <v>-249204.54</v>
      </c>
      <c r="H83" s="34">
        <v>-1606426.7</v>
      </c>
      <c r="I83" s="34">
        <v>4853409.32</v>
      </c>
      <c r="J83" s="34">
        <v>-608000</v>
      </c>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77"/>
      <c r="AY83" s="196"/>
      <c r="AZ83" s="35">
        <v>-1564000</v>
      </c>
      <c r="BA83" s="35">
        <v>-3638000</v>
      </c>
    </row>
    <row r="84" spans="1:53" s="9" customFormat="1" x14ac:dyDescent="0.25">
      <c r="A84" s="93"/>
      <c r="B84" s="31" t="s">
        <v>21</v>
      </c>
      <c r="C84" s="229" t="s">
        <v>647</v>
      </c>
      <c r="D84" s="25">
        <v>3450782.48</v>
      </c>
      <c r="E84" s="25">
        <v>1022727.42</v>
      </c>
      <c r="F84" s="25">
        <v>-70926.080000000002</v>
      </c>
      <c r="G84" s="25">
        <v>-9946111.5600000005</v>
      </c>
      <c r="H84" s="25">
        <v>-4218572.88</v>
      </c>
      <c r="I84" s="25">
        <v>824621.52</v>
      </c>
      <c r="J84" s="25">
        <v>4134000</v>
      </c>
      <c r="K84" s="248"/>
      <c r="L84" s="248"/>
      <c r="M84" s="248"/>
      <c r="N84" s="248"/>
      <c r="O84" s="248"/>
      <c r="P84" s="248"/>
      <c r="Q84" s="248"/>
      <c r="R84" s="248"/>
      <c r="S84" s="248"/>
      <c r="T84" s="248"/>
      <c r="U84" s="248"/>
      <c r="V84" s="248"/>
      <c r="W84" s="248"/>
      <c r="X84" s="248"/>
      <c r="Y84" s="248"/>
      <c r="Z84" s="248"/>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77"/>
      <c r="AY84" s="196"/>
      <c r="AZ84" s="9">
        <v>2479000</v>
      </c>
    </row>
    <row r="85" spans="1:53" s="9" customFormat="1" x14ac:dyDescent="0.25">
      <c r="A85" s="93"/>
      <c r="B85" s="31" t="s">
        <v>132</v>
      </c>
      <c r="C85" s="229" t="s">
        <v>230</v>
      </c>
      <c r="D85" s="25"/>
      <c r="E85" s="25"/>
      <c r="F85" s="25"/>
      <c r="G85" s="25"/>
      <c r="H85" s="25"/>
      <c r="I85" s="25"/>
      <c r="J85" s="250"/>
      <c r="K85" s="248"/>
      <c r="L85" s="248"/>
      <c r="M85" s="248"/>
      <c r="N85" s="248"/>
      <c r="O85" s="248"/>
      <c r="P85" s="248"/>
      <c r="Q85" s="248"/>
      <c r="R85" s="248"/>
      <c r="S85" s="248"/>
      <c r="T85" s="248"/>
      <c r="U85" s="248"/>
      <c r="V85" s="248"/>
      <c r="W85" s="248"/>
      <c r="X85" s="248"/>
      <c r="Y85" s="248"/>
      <c r="Z85" s="248"/>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77"/>
      <c r="AY85" s="196"/>
      <c r="BA85" s="9">
        <v>2013700</v>
      </c>
    </row>
    <row r="86" spans="1:53" s="9" customFormat="1" x14ac:dyDescent="0.25">
      <c r="A86" s="93"/>
      <c r="B86" s="31" t="s">
        <v>231</v>
      </c>
      <c r="C86" s="229" t="s">
        <v>230</v>
      </c>
      <c r="D86" s="25"/>
      <c r="E86" s="25"/>
      <c r="F86" s="25"/>
      <c r="G86" s="25"/>
      <c r="H86" s="25"/>
      <c r="I86" s="25"/>
      <c r="J86" s="250"/>
      <c r="K86" s="248"/>
      <c r="L86" s="248"/>
      <c r="M86" s="248"/>
      <c r="N86" s="248"/>
      <c r="O86" s="248"/>
      <c r="P86" s="248"/>
      <c r="Q86" s="248"/>
      <c r="R86" s="248"/>
      <c r="S86" s="248"/>
      <c r="T86" s="248"/>
      <c r="U86" s="248"/>
      <c r="V86" s="248"/>
      <c r="W86" s="248"/>
      <c r="X86" s="248"/>
      <c r="Y86" s="248"/>
      <c r="Z86" s="248"/>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77"/>
      <c r="AY86" s="196"/>
      <c r="BA86" s="9">
        <v>200000</v>
      </c>
    </row>
    <row r="87" spans="1:53" s="9" customFormat="1" x14ac:dyDescent="0.25">
      <c r="A87" s="93"/>
      <c r="B87" s="31" t="s">
        <v>133</v>
      </c>
      <c r="C87" s="229" t="s">
        <v>230</v>
      </c>
      <c r="D87" s="25"/>
      <c r="E87" s="25"/>
      <c r="F87" s="25"/>
      <c r="G87" s="25"/>
      <c r="H87" s="25"/>
      <c r="I87" s="25"/>
      <c r="J87" s="250"/>
      <c r="K87" s="248"/>
      <c r="L87" s="248"/>
      <c r="M87" s="248"/>
      <c r="N87" s="248"/>
      <c r="O87" s="248"/>
      <c r="P87" s="248"/>
      <c r="Q87" s="248"/>
      <c r="R87" s="248"/>
      <c r="S87" s="248"/>
      <c r="T87" s="248"/>
      <c r="U87" s="248"/>
      <c r="V87" s="248"/>
      <c r="W87" s="248"/>
      <c r="X87" s="248"/>
      <c r="Y87" s="248"/>
      <c r="Z87" s="248"/>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77"/>
      <c r="AY87" s="196"/>
      <c r="BA87" s="9">
        <v>4898300</v>
      </c>
    </row>
    <row r="88" spans="1:53" s="9" customFormat="1" x14ac:dyDescent="0.25">
      <c r="A88" s="93" t="s">
        <v>34</v>
      </c>
      <c r="B88" s="31"/>
      <c r="C88" s="229"/>
      <c r="D88" s="25"/>
      <c r="E88" s="25"/>
      <c r="F88" s="25"/>
      <c r="G88" s="25"/>
      <c r="H88" s="25"/>
      <c r="I88" s="25"/>
      <c r="J88" s="25"/>
      <c r="K88" s="248"/>
      <c r="L88" s="248"/>
      <c r="M88" s="248"/>
      <c r="N88" s="248"/>
      <c r="O88" s="248"/>
      <c r="P88" s="248"/>
      <c r="Q88" s="248"/>
      <c r="R88" s="248"/>
      <c r="S88" s="248"/>
      <c r="T88" s="248"/>
      <c r="U88" s="248"/>
      <c r="V88" s="248"/>
      <c r="W88" s="248"/>
      <c r="X88" s="248"/>
      <c r="Y88" s="248"/>
      <c r="Z88" s="248"/>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77"/>
      <c r="AY88" s="196"/>
    </row>
    <row r="89" spans="1:53" s="33" customFormat="1" x14ac:dyDescent="0.25">
      <c r="A89" s="101"/>
      <c r="B89" s="32" t="s">
        <v>33</v>
      </c>
      <c r="C89" s="229" t="s">
        <v>651</v>
      </c>
      <c r="D89" s="250">
        <v>2106877.27</v>
      </c>
      <c r="E89" s="250">
        <v>2303548.65</v>
      </c>
      <c r="F89" s="250">
        <v>2628127.9</v>
      </c>
      <c r="G89" s="250">
        <v>5363418.96</v>
      </c>
      <c r="H89" s="250">
        <v>2585646.3199999998</v>
      </c>
      <c r="I89" s="250">
        <v>3888450.95</v>
      </c>
      <c r="J89" s="250">
        <v>7675000</v>
      </c>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77"/>
      <c r="AY89" s="196"/>
      <c r="AZ89" s="33">
        <v>9619000</v>
      </c>
      <c r="BA89" s="33">
        <v>7242000</v>
      </c>
    </row>
    <row r="90" spans="1:53" s="33" customFormat="1" x14ac:dyDescent="0.25">
      <c r="A90" s="101"/>
      <c r="B90" s="28" t="s">
        <v>242</v>
      </c>
      <c r="C90" s="229" t="s">
        <v>229</v>
      </c>
      <c r="D90" s="34">
        <v>4213754.54</v>
      </c>
      <c r="E90" s="34">
        <v>4607097.3</v>
      </c>
      <c r="F90" s="34">
        <v>5256255.8</v>
      </c>
      <c r="G90" s="34">
        <v>10726837.92</v>
      </c>
      <c r="H90" s="34">
        <v>5171292.6399999997</v>
      </c>
      <c r="I90" s="34">
        <v>7776901.9000000004</v>
      </c>
      <c r="J90" s="34">
        <v>15350000</v>
      </c>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77"/>
      <c r="AY90" s="196"/>
      <c r="AZ90" s="33">
        <v>19238000</v>
      </c>
      <c r="BA90" s="33">
        <v>14484000</v>
      </c>
    </row>
    <row r="91" spans="1:53" s="9" customFormat="1" x14ac:dyDescent="0.25">
      <c r="A91" s="93" t="s">
        <v>61</v>
      </c>
      <c r="B91" s="31"/>
      <c r="C91" s="229" t="s">
        <v>229</v>
      </c>
      <c r="D91" s="25"/>
      <c r="E91" s="25"/>
      <c r="F91" s="25"/>
      <c r="G91" s="25"/>
      <c r="H91" s="25">
        <v>16755353.300000001</v>
      </c>
      <c r="I91" s="25">
        <v>4302593.6500000004</v>
      </c>
      <c r="J91" s="25">
        <v>463000</v>
      </c>
      <c r="K91" s="248"/>
      <c r="L91" s="248"/>
      <c r="M91" s="248"/>
      <c r="N91" s="248"/>
      <c r="O91" s="248"/>
      <c r="P91" s="248"/>
      <c r="Q91" s="248"/>
      <c r="R91" s="248"/>
      <c r="S91" s="248"/>
      <c r="T91" s="248"/>
      <c r="U91" s="248"/>
      <c r="V91" s="248"/>
      <c r="W91" s="248"/>
      <c r="X91" s="248"/>
      <c r="Y91" s="248"/>
      <c r="Z91" s="248"/>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77"/>
      <c r="AY91" s="196"/>
      <c r="AZ91" s="9">
        <v>442000</v>
      </c>
      <c r="BA91" s="9">
        <v>288000</v>
      </c>
    </row>
    <row r="92" spans="1:53" s="35" customFormat="1" x14ac:dyDescent="0.25">
      <c r="A92" s="84" t="s">
        <v>243</v>
      </c>
      <c r="C92" s="229" t="s">
        <v>230</v>
      </c>
      <c r="D92" s="34"/>
      <c r="E92" s="34"/>
      <c r="F92" s="34"/>
      <c r="G92" s="34">
        <v>751.54</v>
      </c>
      <c r="H92" s="34"/>
      <c r="I92" s="34"/>
      <c r="J92" s="34"/>
      <c r="K92" s="248"/>
      <c r="L92" s="248"/>
      <c r="M92" s="248"/>
      <c r="N92" s="248"/>
      <c r="O92" s="248"/>
      <c r="P92" s="248"/>
      <c r="Q92" s="248"/>
      <c r="R92" s="248"/>
      <c r="S92" s="248"/>
      <c r="T92" s="248"/>
      <c r="U92" s="248"/>
      <c r="V92" s="248"/>
      <c r="W92" s="248"/>
      <c r="X92" s="248"/>
      <c r="Y92" s="248"/>
      <c r="Z92" s="248"/>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77"/>
      <c r="AY92" s="196"/>
    </row>
    <row r="93" spans="1:53" s="3" customFormat="1" x14ac:dyDescent="0.25">
      <c r="A93" s="59" t="s">
        <v>35</v>
      </c>
      <c r="B93" s="23"/>
      <c r="C93" s="229"/>
      <c r="D93" s="7">
        <v>9263591.1999999993</v>
      </c>
      <c r="E93" s="7">
        <v>7368704.3600000003</v>
      </c>
      <c r="F93" s="7">
        <v>5669374.7400000002</v>
      </c>
      <c r="G93" s="7">
        <v>532273.36</v>
      </c>
      <c r="H93" s="7">
        <v>16101646.359999999</v>
      </c>
      <c r="I93" s="7">
        <v>17757526.390000001</v>
      </c>
      <c r="J93" s="7">
        <v>19339000</v>
      </c>
      <c r="K93" s="248"/>
      <c r="L93" s="248"/>
      <c r="M93" s="248"/>
      <c r="N93" s="248"/>
      <c r="O93" s="248"/>
      <c r="P93" s="248"/>
      <c r="Q93" s="248"/>
      <c r="R93" s="248"/>
      <c r="S93" s="248"/>
      <c r="T93" s="248"/>
      <c r="U93" s="248"/>
      <c r="V93" s="248"/>
      <c r="W93" s="248"/>
      <c r="X93" s="248"/>
      <c r="Y93" s="248"/>
      <c r="Z93" s="248"/>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79"/>
      <c r="AY93" s="197"/>
      <c r="AZ93" s="3">
        <v>20595000</v>
      </c>
      <c r="BA93" s="3">
        <v>18246000</v>
      </c>
    </row>
    <row r="94" spans="1:53" s="3" customFormat="1" x14ac:dyDescent="0.25">
      <c r="A94" s="59"/>
      <c r="B94" s="23"/>
      <c r="C94" s="229"/>
      <c r="D94" s="7"/>
      <c r="E94" s="7"/>
      <c r="F94" s="7"/>
      <c r="G94" s="7"/>
      <c r="H94" s="7"/>
      <c r="I94" s="7"/>
      <c r="J94" s="7"/>
      <c r="K94" s="248"/>
      <c r="L94" s="248"/>
      <c r="M94" s="248"/>
      <c r="N94" s="248"/>
      <c r="O94" s="248"/>
      <c r="P94" s="248"/>
      <c r="Q94" s="248"/>
      <c r="R94" s="248"/>
      <c r="S94" s="248"/>
      <c r="T94" s="248"/>
      <c r="U94" s="248"/>
      <c r="V94" s="248"/>
      <c r="W94" s="248"/>
      <c r="X94" s="248"/>
      <c r="Y94" s="248"/>
      <c r="Z94" s="248"/>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79"/>
      <c r="AY94" s="197"/>
    </row>
    <row r="95" spans="1:53" s="3" customFormat="1" x14ac:dyDescent="0.25">
      <c r="A95" s="85" t="s">
        <v>13</v>
      </c>
      <c r="B95" s="23"/>
      <c r="C95" s="229"/>
      <c r="D95" s="7"/>
      <c r="E95" s="7"/>
      <c r="F95" s="7"/>
      <c r="G95" s="7"/>
      <c r="H95" s="7"/>
      <c r="I95" s="7"/>
      <c r="J95" s="7"/>
      <c r="K95" s="248"/>
      <c r="L95" s="248"/>
      <c r="M95" s="248"/>
      <c r="N95" s="248"/>
      <c r="O95" s="248"/>
      <c r="P95" s="248"/>
      <c r="Q95" s="248"/>
      <c r="R95" s="248"/>
      <c r="S95" s="248"/>
      <c r="T95" s="248"/>
      <c r="U95" s="248"/>
      <c r="V95" s="248"/>
      <c r="W95" s="248"/>
      <c r="X95" s="248"/>
      <c r="Y95" s="248"/>
      <c r="Z95" s="248"/>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79"/>
      <c r="AY95" s="197"/>
    </row>
    <row r="96" spans="1:53" s="9" customFormat="1" x14ac:dyDescent="0.25">
      <c r="A96" s="84" t="s">
        <v>184</v>
      </c>
      <c r="B96" s="31"/>
      <c r="C96" s="229" t="s">
        <v>249</v>
      </c>
      <c r="D96" s="34">
        <v>9263591.1999999993</v>
      </c>
      <c r="E96" s="34">
        <v>7368704.3600000003</v>
      </c>
      <c r="F96" s="34">
        <v>5669374.7400000002</v>
      </c>
      <c r="G96" s="34">
        <v>532273.36</v>
      </c>
      <c r="H96" s="34">
        <v>16101646.359999999</v>
      </c>
      <c r="I96" s="34">
        <v>17757526.390000001</v>
      </c>
      <c r="J96" s="34">
        <v>19339000</v>
      </c>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77"/>
      <c r="AY96" s="196"/>
      <c r="AZ96" s="9">
        <v>20595000</v>
      </c>
      <c r="BA96" s="9">
        <v>18246000</v>
      </c>
    </row>
    <row r="97" spans="1:53" s="3" customFormat="1" x14ac:dyDescent="0.25">
      <c r="A97" s="30" t="s">
        <v>35</v>
      </c>
      <c r="B97" s="23"/>
      <c r="C97" s="229"/>
      <c r="D97" s="256">
        <v>9263591.1999999993</v>
      </c>
      <c r="E97" s="256">
        <v>7368704.3600000003</v>
      </c>
      <c r="F97" s="256">
        <v>5669374.7400000002</v>
      </c>
      <c r="G97" s="256">
        <v>532273.36</v>
      </c>
      <c r="H97" s="256">
        <v>16101646.359999999</v>
      </c>
      <c r="I97" s="256">
        <v>17757526.390000001</v>
      </c>
      <c r="J97" s="256">
        <v>19339000</v>
      </c>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79"/>
      <c r="AY97" s="197"/>
      <c r="AZ97" s="3">
        <v>20595000</v>
      </c>
      <c r="BA97" s="3">
        <v>18246000</v>
      </c>
    </row>
    <row r="98" spans="1:53" x14ac:dyDescent="0.25">
      <c r="A98" s="28"/>
      <c r="C98" s="229"/>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77"/>
      <c r="AY98" s="196"/>
    </row>
    <row r="99" spans="1:53" s="8" customFormat="1" x14ac:dyDescent="0.25">
      <c r="A99" s="30" t="s">
        <v>25</v>
      </c>
      <c r="B99" s="30"/>
      <c r="C99" s="229"/>
      <c r="D99" s="256">
        <f>D93-SUM(D83:D88,D90:D92)</f>
        <v>0</v>
      </c>
      <c r="E99" s="256">
        <f t="shared" ref="E99:J99" si="38">E93-SUM(E83:E88,E90:E92)</f>
        <v>0</v>
      </c>
      <c r="F99" s="256">
        <f t="shared" si="38"/>
        <v>0</v>
      </c>
      <c r="G99" s="256">
        <f t="shared" si="38"/>
        <v>0</v>
      </c>
      <c r="H99" s="256">
        <f t="shared" si="38"/>
        <v>0</v>
      </c>
      <c r="I99" s="256">
        <f t="shared" si="38"/>
        <v>0</v>
      </c>
      <c r="J99" s="256">
        <f t="shared" si="38"/>
        <v>0</v>
      </c>
      <c r="K99" s="248"/>
      <c r="L99" s="248"/>
      <c r="M99" s="248"/>
      <c r="N99" s="248"/>
      <c r="O99" s="248"/>
      <c r="P99" s="248"/>
      <c r="Q99" s="248"/>
      <c r="R99" s="248"/>
      <c r="S99" s="248"/>
      <c r="T99" s="248"/>
      <c r="U99" s="248"/>
      <c r="V99" s="248"/>
      <c r="W99" s="248"/>
      <c r="X99" s="248"/>
      <c r="Y99" s="248"/>
      <c r="Z99" s="248"/>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79"/>
      <c r="AY99" s="197"/>
      <c r="AZ99" s="8">
        <v>0</v>
      </c>
      <c r="BA99" s="8">
        <v>0</v>
      </c>
    </row>
    <row r="100" spans="1:53" x14ac:dyDescent="0.25">
      <c r="A100" s="28"/>
      <c r="C100" s="229"/>
      <c r="G100" s="34"/>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77"/>
      <c r="AY100" s="196"/>
    </row>
    <row r="101" spans="1:53" x14ac:dyDescent="0.25">
      <c r="A101" s="76"/>
      <c r="B101" s="76"/>
      <c r="C101" s="23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c r="AY101" s="196"/>
    </row>
    <row r="102" spans="1:53" s="40" customFormat="1" x14ac:dyDescent="0.25">
      <c r="A102" s="38" t="s">
        <v>202</v>
      </c>
      <c r="B102" s="39"/>
      <c r="C102" s="227"/>
      <c r="D102" s="41"/>
      <c r="E102" s="41"/>
      <c r="F102" s="41"/>
      <c r="G102" s="41"/>
      <c r="H102" s="41"/>
      <c r="I102" s="41"/>
      <c r="J102" s="41"/>
      <c r="K102" s="40" t="s">
        <v>556</v>
      </c>
      <c r="L102" s="40" t="s">
        <v>557</v>
      </c>
      <c r="M102" s="40" t="s">
        <v>558</v>
      </c>
      <c r="N102" s="66" t="s">
        <v>559</v>
      </c>
      <c r="O102" s="66" t="s">
        <v>560</v>
      </c>
      <c r="P102" s="66" t="s">
        <v>561</v>
      </c>
      <c r="Q102" s="66" t="s">
        <v>562</v>
      </c>
      <c r="R102" s="40" t="s">
        <v>563</v>
      </c>
      <c r="S102" s="40" t="s">
        <v>564</v>
      </c>
      <c r="T102" s="40" t="s">
        <v>254</v>
      </c>
      <c r="U102" s="40" t="s">
        <v>565</v>
      </c>
      <c r="V102" s="40" t="s">
        <v>566</v>
      </c>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276"/>
      <c r="AY102" s="60"/>
    </row>
    <row r="103" spans="1:53" x14ac:dyDescent="0.25">
      <c r="A103" s="23" t="s">
        <v>45</v>
      </c>
      <c r="C103" s="229"/>
      <c r="D103" s="248"/>
      <c r="E103" s="248"/>
      <c r="F103" s="248"/>
      <c r="G103" s="248"/>
      <c r="H103" s="248"/>
      <c r="I103" s="248"/>
      <c r="J103" s="248"/>
      <c r="K103" s="62"/>
      <c r="L103" s="62"/>
      <c r="M103" s="62"/>
      <c r="N103" s="62"/>
      <c r="O103" s="62"/>
      <c r="P103" s="62"/>
      <c r="Q103" s="62"/>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77"/>
      <c r="AY103" s="196"/>
    </row>
    <row r="104" spans="1:53" x14ac:dyDescent="0.25">
      <c r="A104" s="83" t="s">
        <v>108</v>
      </c>
      <c r="C104" s="229" t="s">
        <v>230</v>
      </c>
      <c r="D104" s="248"/>
      <c r="E104" s="248"/>
      <c r="F104" s="248"/>
      <c r="G104" s="248"/>
      <c r="H104" s="248"/>
      <c r="I104" s="248"/>
      <c r="J104" s="248"/>
      <c r="K104" s="62"/>
      <c r="L104" s="25">
        <v>2013700</v>
      </c>
      <c r="M104" s="62">
        <v>3714279</v>
      </c>
      <c r="N104" s="62">
        <v>3816040</v>
      </c>
      <c r="O104" s="62">
        <v>4080148</v>
      </c>
      <c r="P104" s="62">
        <v>4068434</v>
      </c>
      <c r="Q104" s="62">
        <v>3009480</v>
      </c>
      <c r="R104" s="6">
        <v>2594526</v>
      </c>
      <c r="S104" s="6">
        <v>2091520</v>
      </c>
      <c r="T104" s="6">
        <v>1432114</v>
      </c>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77"/>
      <c r="AY104" s="196"/>
    </row>
    <row r="105" spans="1:53" x14ac:dyDescent="0.25">
      <c r="A105" s="83" t="s">
        <v>109</v>
      </c>
      <c r="C105" s="229" t="s">
        <v>230</v>
      </c>
      <c r="D105" s="248"/>
      <c r="E105" s="248"/>
      <c r="F105" s="248"/>
      <c r="G105" s="248"/>
      <c r="H105" s="248"/>
      <c r="I105" s="248"/>
      <c r="J105" s="248"/>
      <c r="K105" s="62"/>
      <c r="N105" s="62"/>
      <c r="O105" s="62">
        <v>225000</v>
      </c>
      <c r="P105" s="62">
        <v>202500</v>
      </c>
      <c r="Q105" s="62">
        <v>605000</v>
      </c>
      <c r="R105" s="6">
        <v>540000</v>
      </c>
      <c r="S105" s="6">
        <v>475000</v>
      </c>
      <c r="T105" s="6">
        <v>410000</v>
      </c>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77"/>
      <c r="AY105" s="196"/>
    </row>
    <row r="106" spans="1:53" x14ac:dyDescent="0.25">
      <c r="A106" s="83" t="s">
        <v>110</v>
      </c>
      <c r="C106" s="229" t="s">
        <v>230</v>
      </c>
      <c r="D106" s="248"/>
      <c r="E106" s="248"/>
      <c r="F106" s="248"/>
      <c r="G106" s="248"/>
      <c r="H106" s="248"/>
      <c r="I106" s="248"/>
      <c r="J106" s="248"/>
      <c r="K106" s="62"/>
      <c r="L106" s="25">
        <v>200000</v>
      </c>
      <c r="M106" s="62">
        <v>2000000</v>
      </c>
      <c r="N106" s="62">
        <v>4627000</v>
      </c>
      <c r="O106" s="62">
        <v>5637000</v>
      </c>
      <c r="P106" s="62">
        <v>6337000</v>
      </c>
      <c r="Q106" s="62">
        <v>7127000</v>
      </c>
      <c r="R106" s="6">
        <v>7127000</v>
      </c>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77"/>
      <c r="AY106" s="196"/>
    </row>
    <row r="107" spans="1:53" x14ac:dyDescent="0.25">
      <c r="A107" s="83" t="s">
        <v>134</v>
      </c>
      <c r="C107" s="229" t="s">
        <v>647</v>
      </c>
      <c r="D107" s="248"/>
      <c r="E107" s="248"/>
      <c r="F107" s="248"/>
      <c r="G107" s="248"/>
      <c r="H107" s="248"/>
      <c r="I107" s="248"/>
      <c r="J107" s="248"/>
      <c r="K107" s="62"/>
      <c r="L107" s="25">
        <v>4645</v>
      </c>
      <c r="M107" s="62"/>
      <c r="N107" s="62"/>
      <c r="O107" s="62"/>
      <c r="P107" s="62"/>
      <c r="Q107" s="62"/>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77"/>
      <c r="AY107" s="196"/>
    </row>
    <row r="108" spans="1:53" x14ac:dyDescent="0.25">
      <c r="A108" s="83" t="s">
        <v>701</v>
      </c>
      <c r="C108" s="229" t="s">
        <v>647</v>
      </c>
      <c r="D108" s="248"/>
      <c r="E108" s="248"/>
      <c r="F108" s="248"/>
      <c r="G108" s="248"/>
      <c r="H108" s="248"/>
      <c r="I108" s="248"/>
      <c r="J108" s="248"/>
      <c r="K108" s="62"/>
      <c r="L108" s="25"/>
      <c r="M108" s="62"/>
      <c r="N108" s="62"/>
      <c r="O108" s="62">
        <v>52310.66</v>
      </c>
      <c r="P108" s="62"/>
      <c r="Q108" s="62"/>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77"/>
      <c r="AY108" s="196"/>
    </row>
    <row r="109" spans="1:53" x14ac:dyDescent="0.25">
      <c r="A109" s="83" t="s">
        <v>140</v>
      </c>
      <c r="C109" s="229" t="s">
        <v>647</v>
      </c>
      <c r="D109" s="248"/>
      <c r="E109" s="248"/>
      <c r="F109" s="248"/>
      <c r="G109" s="248"/>
      <c r="H109" s="248"/>
      <c r="I109" s="248"/>
      <c r="J109" s="248"/>
      <c r="K109" s="62"/>
      <c r="L109" s="25"/>
      <c r="M109" s="62"/>
      <c r="N109" s="62"/>
      <c r="O109" s="62">
        <v>5154.3</v>
      </c>
      <c r="P109" s="62">
        <v>5154.3</v>
      </c>
      <c r="Q109" s="62"/>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77"/>
      <c r="AY109" s="196"/>
    </row>
    <row r="110" spans="1:53" x14ac:dyDescent="0.25">
      <c r="A110" s="83" t="s">
        <v>123</v>
      </c>
      <c r="C110" s="229" t="s">
        <v>229</v>
      </c>
      <c r="D110" s="248"/>
      <c r="E110" s="248"/>
      <c r="F110" s="248"/>
      <c r="G110" s="248"/>
      <c r="H110" s="248"/>
      <c r="I110" s="248"/>
      <c r="J110" s="248"/>
      <c r="K110" s="62">
        <v>441152.4</v>
      </c>
      <c r="L110" s="62">
        <v>283235.62</v>
      </c>
      <c r="M110" s="62">
        <v>258847.8</v>
      </c>
      <c r="N110" s="62">
        <v>253551.07</v>
      </c>
      <c r="O110" s="62">
        <v>216301.39</v>
      </c>
      <c r="P110" s="62"/>
      <c r="Q110" s="62">
        <v>2010856.46</v>
      </c>
      <c r="R110" s="6">
        <v>778113.96</v>
      </c>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77"/>
      <c r="AY110" s="196"/>
    </row>
    <row r="111" spans="1:53" x14ac:dyDescent="0.25">
      <c r="A111" s="83" t="s">
        <v>124</v>
      </c>
      <c r="C111" s="229" t="s">
        <v>647</v>
      </c>
      <c r="D111" s="248"/>
      <c r="E111" s="248"/>
      <c r="F111" s="248"/>
      <c r="G111" s="248"/>
      <c r="H111" s="248"/>
      <c r="I111" s="248"/>
      <c r="J111" s="248"/>
      <c r="K111" s="62"/>
      <c r="L111" s="62"/>
      <c r="M111" s="62"/>
      <c r="N111" s="62"/>
      <c r="O111" s="62"/>
      <c r="P111" s="62"/>
      <c r="Q111" s="62"/>
      <c r="T111" s="6">
        <v>238000</v>
      </c>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77"/>
      <c r="AY111" s="196"/>
    </row>
    <row r="112" spans="1:53" x14ac:dyDescent="0.25">
      <c r="A112" s="83" t="s">
        <v>139</v>
      </c>
      <c r="C112" s="229" t="s">
        <v>230</v>
      </c>
      <c r="D112" s="248"/>
      <c r="E112" s="248"/>
      <c r="F112" s="248"/>
      <c r="G112" s="248"/>
      <c r="H112" s="248"/>
      <c r="I112" s="248"/>
      <c r="J112" s="248"/>
      <c r="K112" s="62"/>
      <c r="L112" s="62"/>
      <c r="M112" s="62"/>
      <c r="N112" s="62">
        <v>67.98</v>
      </c>
      <c r="O112" s="62">
        <v>192.37</v>
      </c>
      <c r="P112" s="62">
        <v>157.4</v>
      </c>
      <c r="Q112" s="62">
        <v>125.61</v>
      </c>
      <c r="R112" s="6">
        <v>164.3</v>
      </c>
      <c r="S112" s="6">
        <v>151.55000000000001</v>
      </c>
      <c r="T112" s="6">
        <v>19495.189999999999</v>
      </c>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77"/>
      <c r="AY112" s="196"/>
    </row>
    <row r="113" spans="1:51" x14ac:dyDescent="0.25">
      <c r="A113" s="83" t="s">
        <v>111</v>
      </c>
      <c r="C113" s="229" t="s">
        <v>230</v>
      </c>
      <c r="D113" s="248"/>
      <c r="E113" s="248"/>
      <c r="F113" s="248"/>
      <c r="G113" s="248"/>
      <c r="H113" s="248"/>
      <c r="I113" s="248"/>
      <c r="J113" s="248"/>
      <c r="K113" s="62"/>
      <c r="L113" s="62"/>
      <c r="M113" s="62"/>
      <c r="N113" s="62">
        <v>13779.43</v>
      </c>
      <c r="O113" s="62">
        <v>14423.29</v>
      </c>
      <c r="P113" s="62">
        <v>13907.95</v>
      </c>
      <c r="Q113" s="62">
        <v>12547.26</v>
      </c>
      <c r="R113" s="6">
        <v>9599.7800000000007</v>
      </c>
      <c r="S113" s="6">
        <v>7506.52</v>
      </c>
      <c r="T113" s="6">
        <v>6128.51</v>
      </c>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77"/>
      <c r="AY113" s="196"/>
    </row>
    <row r="114" spans="1:51" x14ac:dyDescent="0.25">
      <c r="A114" s="83" t="s">
        <v>112</v>
      </c>
      <c r="C114" s="229" t="s">
        <v>230</v>
      </c>
      <c r="D114" s="248"/>
      <c r="E114" s="248"/>
      <c r="F114" s="248"/>
      <c r="G114" s="248"/>
      <c r="H114" s="248"/>
      <c r="I114" s="248"/>
      <c r="J114" s="248"/>
      <c r="K114" s="62"/>
      <c r="L114" s="62"/>
      <c r="M114" s="62"/>
      <c r="N114" s="62">
        <v>94950.15</v>
      </c>
      <c r="O114" s="62">
        <v>41.25</v>
      </c>
      <c r="P114" s="62">
        <v>37.130000000000003</v>
      </c>
      <c r="Q114" s="62">
        <v>1094.5</v>
      </c>
      <c r="R114" s="6">
        <v>984.25</v>
      </c>
      <c r="S114" s="6">
        <v>874</v>
      </c>
      <c r="T114" s="6">
        <v>763.75</v>
      </c>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77"/>
      <c r="AY114" s="196"/>
    </row>
    <row r="115" spans="1:51" x14ac:dyDescent="0.25">
      <c r="A115" s="83" t="s">
        <v>113</v>
      </c>
      <c r="C115" s="229" t="s">
        <v>230</v>
      </c>
      <c r="D115" s="248"/>
      <c r="E115" s="248"/>
      <c r="F115" s="248"/>
      <c r="G115" s="248"/>
      <c r="H115" s="248"/>
      <c r="I115" s="248"/>
      <c r="J115" s="248"/>
      <c r="K115" s="62"/>
      <c r="L115" s="62"/>
      <c r="M115" s="62"/>
      <c r="N115" s="62"/>
      <c r="O115" s="62">
        <v>127202.78</v>
      </c>
      <c r="P115" s="62">
        <v>416006.97</v>
      </c>
      <c r="Q115" s="62">
        <v>106905</v>
      </c>
      <c r="R115" s="6">
        <v>106905</v>
      </c>
      <c r="S115" s="6">
        <v>106905</v>
      </c>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77"/>
      <c r="AY115" s="196"/>
    </row>
    <row r="116" spans="1:51" x14ac:dyDescent="0.25">
      <c r="A116" s="83" t="s">
        <v>127</v>
      </c>
      <c r="C116" s="229" t="s">
        <v>230</v>
      </c>
      <c r="D116" s="248"/>
      <c r="E116" s="248"/>
      <c r="F116" s="248"/>
      <c r="G116" s="248"/>
      <c r="H116" s="248"/>
      <c r="I116" s="248"/>
      <c r="J116" s="248"/>
      <c r="K116" s="62"/>
      <c r="L116" s="62"/>
      <c r="M116" s="62"/>
      <c r="N116" s="62"/>
      <c r="O116" s="62"/>
      <c r="P116" s="62"/>
      <c r="Q116" s="62">
        <v>226038.41</v>
      </c>
      <c r="R116" s="6">
        <v>300247.39</v>
      </c>
      <c r="S116" s="6">
        <v>265124.11</v>
      </c>
      <c r="T116" s="6">
        <v>234050.36</v>
      </c>
      <c r="U116" s="6">
        <v>134765.21</v>
      </c>
      <c r="V116" s="6">
        <v>13587.18</v>
      </c>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77"/>
      <c r="AY116" s="196"/>
    </row>
    <row r="117" spans="1:51" x14ac:dyDescent="0.25">
      <c r="A117" s="83" t="s">
        <v>138</v>
      </c>
      <c r="C117" s="229" t="s">
        <v>230</v>
      </c>
      <c r="D117" s="248"/>
      <c r="E117" s="248"/>
      <c r="F117" s="248"/>
      <c r="G117" s="248"/>
      <c r="H117" s="248"/>
      <c r="I117" s="248"/>
      <c r="J117" s="248"/>
      <c r="K117" s="62"/>
      <c r="L117" s="62"/>
      <c r="M117" s="62">
        <v>49861.11</v>
      </c>
      <c r="N117" s="62"/>
      <c r="O117" s="62"/>
      <c r="P117" s="62"/>
      <c r="Q117" s="62"/>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77"/>
      <c r="AY117" s="196"/>
    </row>
    <row r="118" spans="1:51" x14ac:dyDescent="0.25">
      <c r="A118" s="83" t="s">
        <v>135</v>
      </c>
      <c r="C118" s="229" t="s">
        <v>230</v>
      </c>
      <c r="D118" s="248"/>
      <c r="E118" s="248"/>
      <c r="F118" s="248"/>
      <c r="G118" s="248"/>
      <c r="H118" s="248"/>
      <c r="I118" s="248"/>
      <c r="J118" s="248"/>
      <c r="K118" s="62"/>
      <c r="L118" s="62">
        <v>896.58</v>
      </c>
      <c r="M118" s="62">
        <v>223.54</v>
      </c>
      <c r="N118" s="62"/>
      <c r="O118" s="62"/>
      <c r="P118" s="62"/>
      <c r="Q118" s="62"/>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77"/>
      <c r="AY118" s="196"/>
    </row>
    <row r="119" spans="1:51" x14ac:dyDescent="0.25">
      <c r="A119" s="83" t="s">
        <v>136</v>
      </c>
      <c r="C119" s="229" t="s">
        <v>648</v>
      </c>
      <c r="D119" s="248"/>
      <c r="E119" s="248"/>
      <c r="F119" s="248"/>
      <c r="G119" s="248"/>
      <c r="H119" s="248"/>
      <c r="I119" s="248"/>
      <c r="J119" s="248"/>
      <c r="K119" s="62">
        <v>20153531.5</v>
      </c>
      <c r="L119" s="62">
        <v>15744433.859999999</v>
      </c>
      <c r="M119" s="62">
        <v>12340940.310000001</v>
      </c>
      <c r="N119" s="62">
        <v>9652224.9199999999</v>
      </c>
      <c r="O119" s="62">
        <v>8167638.1100000003</v>
      </c>
      <c r="P119" s="62">
        <v>2407722.14</v>
      </c>
      <c r="Q119" s="62">
        <v>375626.29</v>
      </c>
      <c r="R119" s="6">
        <v>4077771.32</v>
      </c>
      <c r="S119" s="6">
        <v>129290203.25</v>
      </c>
      <c r="T119" s="6">
        <v>103235964.19</v>
      </c>
      <c r="U119" s="6">
        <v>46082975.780000001</v>
      </c>
      <c r="V119" s="6">
        <v>23220738.719999999</v>
      </c>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77"/>
      <c r="AY119" s="196"/>
    </row>
    <row r="120" spans="1:51" x14ac:dyDescent="0.25">
      <c r="A120" s="83" t="s">
        <v>137</v>
      </c>
      <c r="C120" s="229" t="s">
        <v>230</v>
      </c>
      <c r="D120" s="248"/>
      <c r="E120" s="248"/>
      <c r="F120" s="248"/>
      <c r="G120" s="248"/>
      <c r="H120" s="248"/>
      <c r="I120" s="248"/>
      <c r="J120" s="248"/>
      <c r="K120" s="62">
        <v>25512.16</v>
      </c>
      <c r="L120" s="62">
        <v>25084.32</v>
      </c>
      <c r="M120" s="62">
        <v>5205.46</v>
      </c>
      <c r="O120" s="62"/>
      <c r="P120" s="62"/>
      <c r="Q120" s="62"/>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77"/>
      <c r="AY120" s="196"/>
    </row>
    <row r="121" spans="1:51" x14ac:dyDescent="0.25">
      <c r="A121" s="83" t="s">
        <v>116</v>
      </c>
      <c r="C121" s="229" t="s">
        <v>230</v>
      </c>
      <c r="D121" s="248"/>
      <c r="E121" s="248"/>
      <c r="F121" s="248"/>
      <c r="G121" s="248"/>
      <c r="H121" s="248"/>
      <c r="I121" s="248"/>
      <c r="J121" s="248"/>
      <c r="K121" s="62"/>
      <c r="L121" s="62"/>
      <c r="M121" s="62"/>
      <c r="N121" s="62">
        <v>-1332.6</v>
      </c>
      <c r="O121" s="62">
        <v>-5923.03</v>
      </c>
      <c r="P121" s="62">
        <v>-59681.87</v>
      </c>
      <c r="Q121" s="62">
        <v>-627.21</v>
      </c>
      <c r="R121" s="6">
        <v>-370.03</v>
      </c>
      <c r="S121" s="6">
        <v>-20255.310000000001</v>
      </c>
      <c r="T121" s="6">
        <v>-42770.239999999998</v>
      </c>
      <c r="U121" s="6">
        <v>-44053.63</v>
      </c>
      <c r="V121" s="6">
        <v>-2958.92</v>
      </c>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77"/>
      <c r="AY121" s="196"/>
    </row>
    <row r="122" spans="1:51" x14ac:dyDescent="0.25">
      <c r="A122" s="83" t="s">
        <v>126</v>
      </c>
      <c r="C122" s="229" t="s">
        <v>230</v>
      </c>
      <c r="D122" s="248"/>
      <c r="E122" s="248"/>
      <c r="F122" s="248"/>
      <c r="G122" s="248"/>
      <c r="H122" s="248"/>
      <c r="I122" s="248"/>
      <c r="J122" s="248"/>
      <c r="K122" s="62"/>
      <c r="L122" s="62"/>
      <c r="M122" s="62"/>
      <c r="N122" s="62"/>
      <c r="O122" s="62"/>
      <c r="P122" s="62"/>
      <c r="Q122" s="62"/>
      <c r="U122" s="6">
        <v>458.15</v>
      </c>
      <c r="V122" s="6">
        <v>145.49</v>
      </c>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77"/>
      <c r="AY122" s="196"/>
    </row>
    <row r="123" spans="1:51" x14ac:dyDescent="0.25">
      <c r="A123" s="63" t="s">
        <v>117</v>
      </c>
      <c r="C123" s="229" t="s">
        <v>230</v>
      </c>
      <c r="D123" s="248"/>
      <c r="E123" s="248"/>
      <c r="F123" s="248"/>
      <c r="G123" s="248"/>
      <c r="H123" s="248"/>
      <c r="I123" s="248"/>
      <c r="J123" s="248"/>
      <c r="K123" s="62"/>
      <c r="L123" s="62">
        <v>-54.61</v>
      </c>
      <c r="M123" s="62"/>
      <c r="N123" s="62">
        <v>-91.5</v>
      </c>
      <c r="O123" s="62"/>
      <c r="P123" s="62"/>
      <c r="Q123" s="62">
        <v>-225.5</v>
      </c>
      <c r="R123" s="6">
        <v>-29.24</v>
      </c>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77"/>
      <c r="AY123" s="196"/>
    </row>
    <row r="124" spans="1:51" x14ac:dyDescent="0.25">
      <c r="A124" s="83" t="s">
        <v>114</v>
      </c>
      <c r="C124" s="229" t="s">
        <v>648</v>
      </c>
      <c r="D124" s="248"/>
      <c r="E124" s="248"/>
      <c r="F124" s="248"/>
      <c r="G124" s="248"/>
      <c r="H124" s="248"/>
      <c r="I124" s="248"/>
      <c r="J124" s="248"/>
      <c r="K124" s="62"/>
      <c r="L124" s="62"/>
      <c r="M124" s="62"/>
      <c r="N124" s="62"/>
      <c r="O124" s="62"/>
      <c r="P124" s="62"/>
      <c r="Q124" s="62"/>
      <c r="R124" s="6">
        <v>97014296</v>
      </c>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77"/>
      <c r="AY124" s="196"/>
    </row>
    <row r="125" spans="1:51" s="3" customFormat="1" x14ac:dyDescent="0.25">
      <c r="A125" s="23" t="s">
        <v>39</v>
      </c>
      <c r="B125" s="23"/>
      <c r="C125" s="229"/>
      <c r="D125" s="247"/>
      <c r="E125" s="247"/>
      <c r="F125" s="247"/>
      <c r="G125" s="247"/>
      <c r="H125" s="247"/>
      <c r="I125" s="247"/>
      <c r="J125" s="247"/>
      <c r="K125" s="254">
        <v>20620196.059999999</v>
      </c>
      <c r="L125" s="254">
        <v>18271940.77</v>
      </c>
      <c r="M125" s="254">
        <v>18369357.219999999</v>
      </c>
      <c r="N125" s="254">
        <v>18456189.449999999</v>
      </c>
      <c r="O125" s="254">
        <v>18519489.120000001</v>
      </c>
      <c r="P125" s="254">
        <v>13391238.02</v>
      </c>
      <c r="Q125" s="254">
        <v>13473820.82</v>
      </c>
      <c r="R125" s="7">
        <v>112549208.73</v>
      </c>
      <c r="S125" s="7">
        <v>132217029.12</v>
      </c>
      <c r="T125" s="7">
        <v>105533745.76000001</v>
      </c>
      <c r="U125" s="7">
        <v>46174145.509999998</v>
      </c>
      <c r="V125" s="7">
        <v>23231512.469999999</v>
      </c>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7"/>
      <c r="AR125" s="247"/>
      <c r="AS125" s="247"/>
      <c r="AT125" s="247"/>
      <c r="AU125" s="247"/>
      <c r="AV125" s="247"/>
      <c r="AW125" s="247"/>
      <c r="AX125" s="279"/>
      <c r="AY125" s="197"/>
    </row>
    <row r="126" spans="1:51" s="9" customFormat="1" x14ac:dyDescent="0.25">
      <c r="A126" s="31"/>
      <c r="B126" s="31"/>
      <c r="C126" s="229"/>
      <c r="D126" s="253"/>
      <c r="E126" s="253"/>
      <c r="F126" s="253"/>
      <c r="G126" s="253"/>
      <c r="H126" s="253"/>
      <c r="I126" s="253"/>
      <c r="J126" s="253"/>
      <c r="K126" s="57"/>
      <c r="L126" s="57"/>
      <c r="M126" s="57"/>
      <c r="N126" s="57"/>
      <c r="O126" s="57"/>
      <c r="P126" s="57"/>
      <c r="Q126" s="57"/>
      <c r="R126" s="25"/>
      <c r="S126" s="25"/>
      <c r="T126" s="25"/>
      <c r="U126" s="25"/>
      <c r="V126" s="25"/>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53"/>
      <c r="AR126" s="253"/>
      <c r="AS126" s="253"/>
      <c r="AT126" s="253"/>
      <c r="AU126" s="253"/>
      <c r="AV126" s="253"/>
      <c r="AW126" s="253"/>
      <c r="AX126" s="277"/>
      <c r="AY126" s="196"/>
    </row>
    <row r="127" spans="1:51" x14ac:dyDescent="0.25">
      <c r="A127" s="23" t="s">
        <v>13</v>
      </c>
      <c r="C127" s="229"/>
      <c r="D127" s="248"/>
      <c r="E127" s="248"/>
      <c r="F127" s="248"/>
      <c r="G127" s="248"/>
      <c r="H127" s="248"/>
      <c r="I127" s="248"/>
      <c r="J127" s="248"/>
      <c r="K127" s="62"/>
      <c r="L127" s="62"/>
      <c r="M127" s="62"/>
      <c r="N127" s="62"/>
      <c r="O127" s="62"/>
      <c r="P127" s="62"/>
      <c r="Q127" s="62"/>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77"/>
      <c r="AY127" s="196"/>
    </row>
    <row r="128" spans="1:51" x14ac:dyDescent="0.25">
      <c r="A128" s="83" t="s">
        <v>118</v>
      </c>
      <c r="C128" s="229" t="s">
        <v>249</v>
      </c>
      <c r="D128" s="248"/>
      <c r="E128" s="248"/>
      <c r="F128" s="248"/>
      <c r="G128" s="248"/>
      <c r="H128" s="248"/>
      <c r="I128" s="248"/>
      <c r="J128" s="248"/>
      <c r="K128" s="57"/>
      <c r="L128" s="57"/>
      <c r="M128" s="57"/>
      <c r="N128" s="57"/>
      <c r="O128" s="57"/>
      <c r="P128" s="57"/>
      <c r="Q128" s="57"/>
      <c r="R128" s="6">
        <v>103606039.45999999</v>
      </c>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77"/>
      <c r="AY128" s="196"/>
    </row>
    <row r="129" spans="1:51" x14ac:dyDescent="0.25">
      <c r="A129" s="83" t="s">
        <v>119</v>
      </c>
      <c r="C129" s="229" t="s">
        <v>249</v>
      </c>
      <c r="D129" s="248"/>
      <c r="E129" s="248"/>
      <c r="F129" s="248"/>
      <c r="G129" s="248"/>
      <c r="H129" s="248"/>
      <c r="I129" s="248"/>
      <c r="J129" s="248"/>
      <c r="K129" s="62"/>
      <c r="L129" s="62"/>
      <c r="M129" s="62"/>
      <c r="N129" s="62"/>
      <c r="O129" s="62"/>
      <c r="P129" s="62"/>
      <c r="Q129" s="62"/>
      <c r="R129" s="6">
        <v>1038123.27</v>
      </c>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77"/>
      <c r="AY129" s="196"/>
    </row>
    <row r="130" spans="1:51" x14ac:dyDescent="0.25">
      <c r="A130" s="83" t="s">
        <v>248</v>
      </c>
      <c r="C130" s="229" t="s">
        <v>249</v>
      </c>
      <c r="D130" s="248"/>
      <c r="E130" s="248"/>
      <c r="F130" s="248"/>
      <c r="G130" s="248"/>
      <c r="H130" s="248"/>
      <c r="I130" s="248"/>
      <c r="J130" s="248"/>
      <c r="K130" s="62"/>
      <c r="L130" s="62"/>
      <c r="M130" s="62"/>
      <c r="N130" s="62"/>
      <c r="O130" s="62"/>
      <c r="P130" s="62"/>
      <c r="Q130" s="62"/>
      <c r="R130" s="6">
        <v>7905046</v>
      </c>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77"/>
      <c r="AY130" s="196"/>
    </row>
    <row r="131" spans="1:51" x14ac:dyDescent="0.25">
      <c r="A131" s="83" t="s">
        <v>121</v>
      </c>
      <c r="C131" s="229" t="s">
        <v>249</v>
      </c>
      <c r="D131" s="248"/>
      <c r="E131" s="248"/>
      <c r="F131" s="248"/>
      <c r="G131" s="248"/>
      <c r="H131" s="248"/>
      <c r="I131" s="248"/>
      <c r="J131" s="248"/>
      <c r="K131" s="62"/>
      <c r="L131" s="62"/>
      <c r="M131" s="62"/>
      <c r="N131" s="62"/>
      <c r="O131" s="62"/>
      <c r="P131" s="62"/>
      <c r="Q131" s="62"/>
      <c r="S131" s="6">
        <v>20000000</v>
      </c>
      <c r="T131" s="6">
        <v>20000000</v>
      </c>
      <c r="U131" s="6">
        <v>20000000</v>
      </c>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77"/>
      <c r="AY131" s="196"/>
    </row>
    <row r="132" spans="1:51" x14ac:dyDescent="0.25">
      <c r="A132" s="83" t="s">
        <v>122</v>
      </c>
      <c r="C132" s="229" t="s">
        <v>249</v>
      </c>
      <c r="D132" s="248"/>
      <c r="E132" s="248"/>
      <c r="F132" s="248"/>
      <c r="G132" s="248"/>
      <c r="H132" s="248"/>
      <c r="I132" s="248"/>
      <c r="J132" s="248"/>
      <c r="K132" s="62"/>
      <c r="L132" s="62"/>
      <c r="M132" s="62"/>
      <c r="N132" s="62"/>
      <c r="O132" s="62"/>
      <c r="P132" s="62"/>
      <c r="Q132" s="62"/>
      <c r="S132" s="6">
        <v>600000</v>
      </c>
      <c r="T132" s="6">
        <v>1133333.33</v>
      </c>
      <c r="U132" s="6">
        <v>1931150.68</v>
      </c>
      <c r="V132" s="6">
        <v>641980</v>
      </c>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77"/>
      <c r="AY132" s="196"/>
    </row>
    <row r="133" spans="1:51" s="9" customFormat="1" x14ac:dyDescent="0.25">
      <c r="A133" s="93" t="s">
        <v>125</v>
      </c>
      <c r="B133" s="31"/>
      <c r="C133" s="229" t="s">
        <v>125</v>
      </c>
      <c r="D133" s="253"/>
      <c r="E133" s="253"/>
      <c r="F133" s="253"/>
      <c r="G133" s="253"/>
      <c r="H133" s="253"/>
      <c r="I133" s="253"/>
      <c r="J133" s="253"/>
      <c r="K133" s="57"/>
      <c r="L133" s="57"/>
      <c r="M133" s="57"/>
      <c r="N133" s="57"/>
      <c r="O133" s="57"/>
      <c r="P133" s="57"/>
      <c r="Q133" s="57"/>
      <c r="R133" s="25"/>
      <c r="S133" s="25">
        <v>111617029.12</v>
      </c>
      <c r="T133" s="25">
        <v>84400412.430000007</v>
      </c>
      <c r="U133" s="25">
        <v>24242994.829999998</v>
      </c>
      <c r="V133" s="25">
        <v>22589532.469999999</v>
      </c>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77"/>
      <c r="AY133" s="196"/>
    </row>
    <row r="134" spans="1:51" s="35" customFormat="1" x14ac:dyDescent="0.25">
      <c r="A134" s="84" t="s">
        <v>247</v>
      </c>
      <c r="B134" s="28"/>
      <c r="C134" s="229"/>
      <c r="D134" s="252"/>
      <c r="E134" s="252"/>
      <c r="F134" s="252"/>
      <c r="G134" s="252"/>
      <c r="H134" s="252"/>
      <c r="I134" s="252"/>
      <c r="J134" s="252"/>
      <c r="K134" s="218">
        <v>20620196.059999999</v>
      </c>
      <c r="L134" s="218">
        <v>18271940.77</v>
      </c>
      <c r="M134" s="218">
        <v>18369357.219999999</v>
      </c>
      <c r="N134" s="218">
        <v>18456189.449999999</v>
      </c>
      <c r="O134" s="218">
        <v>18519489.120000001</v>
      </c>
      <c r="P134" s="218">
        <v>13391238.02</v>
      </c>
      <c r="Q134" s="218">
        <v>13473820.82</v>
      </c>
      <c r="R134" s="34"/>
      <c r="S134" s="34"/>
      <c r="T134" s="34"/>
      <c r="U134" s="34"/>
      <c r="V134" s="34"/>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77"/>
      <c r="AY134" s="196"/>
    </row>
    <row r="135" spans="1:51" s="3" customFormat="1" x14ac:dyDescent="0.25">
      <c r="A135" s="59" t="s">
        <v>115</v>
      </c>
      <c r="B135" s="23"/>
      <c r="C135" s="229"/>
      <c r="D135" s="247"/>
      <c r="E135" s="247"/>
      <c r="F135" s="247"/>
      <c r="G135" s="247"/>
      <c r="H135" s="247"/>
      <c r="I135" s="247"/>
      <c r="J135" s="247"/>
      <c r="K135" s="257">
        <v>20620196.059999999</v>
      </c>
      <c r="L135" s="257">
        <v>18271940.77</v>
      </c>
      <c r="M135" s="257">
        <v>18369357.219999999</v>
      </c>
      <c r="N135" s="257">
        <v>18456189.449999999</v>
      </c>
      <c r="O135" s="257">
        <v>18519489.120000001</v>
      </c>
      <c r="P135" s="257">
        <v>13391238.02</v>
      </c>
      <c r="Q135" s="257">
        <v>13473820.82</v>
      </c>
      <c r="R135" s="7">
        <v>112549208.73</v>
      </c>
      <c r="S135" s="7">
        <v>132217029.12</v>
      </c>
      <c r="T135" s="7">
        <v>105533745.76000001</v>
      </c>
      <c r="U135" s="7">
        <v>46174145.509999998</v>
      </c>
      <c r="V135" s="7">
        <v>23231512.469999999</v>
      </c>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7"/>
      <c r="AR135" s="247"/>
      <c r="AS135" s="247"/>
      <c r="AT135" s="247"/>
      <c r="AU135" s="247"/>
      <c r="AV135" s="247"/>
      <c r="AW135" s="247"/>
      <c r="AX135" s="279"/>
      <c r="AY135" s="197"/>
    </row>
    <row r="136" spans="1:51" s="3" customFormat="1" x14ac:dyDescent="0.25">
      <c r="A136" s="59"/>
      <c r="B136" s="23"/>
      <c r="C136" s="229"/>
      <c r="D136" s="248"/>
      <c r="E136" s="248"/>
      <c r="F136" s="248"/>
      <c r="G136" s="248"/>
      <c r="H136" s="248"/>
      <c r="I136" s="248"/>
      <c r="J136" s="248"/>
      <c r="K136" s="62"/>
      <c r="L136" s="62"/>
      <c r="M136" s="62"/>
      <c r="N136" s="62"/>
      <c r="O136" s="62"/>
      <c r="P136" s="62"/>
      <c r="Q136" s="254"/>
      <c r="R136" s="7"/>
      <c r="S136" s="7"/>
      <c r="T136" s="7"/>
      <c r="U136" s="7"/>
      <c r="V136" s="7"/>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7"/>
      <c r="AR136" s="247"/>
      <c r="AS136" s="247"/>
      <c r="AT136" s="247"/>
      <c r="AU136" s="247"/>
      <c r="AV136" s="247"/>
      <c r="AW136" s="247"/>
      <c r="AX136" s="279"/>
      <c r="AY136" s="197"/>
    </row>
    <row r="137" spans="1:51" s="3" customFormat="1" x14ac:dyDescent="0.25">
      <c r="A137" s="59" t="s">
        <v>128</v>
      </c>
      <c r="B137" s="23"/>
      <c r="C137" s="229"/>
      <c r="D137" s="248"/>
      <c r="E137" s="248"/>
      <c r="F137" s="248"/>
      <c r="G137" s="248"/>
      <c r="H137" s="248"/>
      <c r="I137" s="248"/>
      <c r="J137" s="248"/>
      <c r="K137" s="62"/>
      <c r="L137" s="62"/>
      <c r="M137" s="62"/>
      <c r="N137" s="62"/>
      <c r="O137" s="62"/>
      <c r="P137" s="62"/>
      <c r="Q137" s="254"/>
      <c r="R137" s="7"/>
      <c r="S137" s="7"/>
      <c r="T137" s="7"/>
      <c r="U137" s="7"/>
      <c r="V137" s="7"/>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7"/>
      <c r="AR137" s="247"/>
      <c r="AS137" s="247"/>
      <c r="AT137" s="247"/>
      <c r="AU137" s="247"/>
      <c r="AV137" s="247"/>
      <c r="AW137" s="247"/>
      <c r="AX137" s="279"/>
      <c r="AY137" s="197"/>
    </row>
    <row r="138" spans="1:51" s="9" customFormat="1" x14ac:dyDescent="0.25">
      <c r="A138" s="93" t="s">
        <v>129</v>
      </c>
      <c r="B138" s="31"/>
      <c r="C138" s="229" t="s">
        <v>644</v>
      </c>
      <c r="D138" s="253"/>
      <c r="E138" s="253"/>
      <c r="F138" s="253"/>
      <c r="G138" s="253"/>
      <c r="H138" s="253"/>
      <c r="I138" s="253"/>
      <c r="J138" s="253"/>
      <c r="K138" s="57"/>
      <c r="L138" s="57"/>
      <c r="M138" s="57"/>
      <c r="N138" s="57"/>
      <c r="O138" s="57"/>
      <c r="P138" s="62"/>
      <c r="Q138" s="62"/>
      <c r="R138" s="25">
        <v>77570606</v>
      </c>
      <c r="S138" s="25">
        <v>75919166</v>
      </c>
      <c r="T138" s="57">
        <v>75409415.560000002</v>
      </c>
      <c r="U138" s="25"/>
      <c r="V138" s="25"/>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53"/>
      <c r="AR138" s="253"/>
      <c r="AS138" s="253"/>
      <c r="AT138" s="253"/>
      <c r="AU138" s="253"/>
      <c r="AV138" s="253"/>
      <c r="AW138" s="253"/>
      <c r="AX138" s="277"/>
      <c r="AY138" s="196"/>
    </row>
    <row r="139" spans="1:51" s="9" customFormat="1" x14ac:dyDescent="0.25">
      <c r="A139" s="93" t="s">
        <v>638</v>
      </c>
      <c r="B139" s="31"/>
      <c r="C139" s="229" t="s">
        <v>651</v>
      </c>
      <c r="D139" s="253"/>
      <c r="E139" s="253"/>
      <c r="F139" s="253"/>
      <c r="G139" s="253"/>
      <c r="H139" s="253"/>
      <c r="I139" s="253"/>
      <c r="J139" s="253"/>
      <c r="K139" s="57"/>
      <c r="L139" s="57"/>
      <c r="M139" s="57"/>
      <c r="N139" s="57"/>
      <c r="O139" s="57"/>
      <c r="P139" s="62"/>
      <c r="Q139" s="62"/>
      <c r="R139" s="25">
        <v>92077703.680000007</v>
      </c>
      <c r="S139" s="25">
        <v>90853093.239999995</v>
      </c>
      <c r="T139" s="57">
        <v>73707805.019999996</v>
      </c>
      <c r="U139" s="25"/>
      <c r="V139" s="25"/>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53"/>
      <c r="AR139" s="253"/>
      <c r="AS139" s="253"/>
      <c r="AT139" s="253"/>
      <c r="AU139" s="253"/>
      <c r="AV139" s="253"/>
      <c r="AW139" s="253"/>
      <c r="AX139" s="277"/>
      <c r="AY139" s="196"/>
    </row>
    <row r="140" spans="1:51" s="192" customFormat="1" x14ac:dyDescent="0.25">
      <c r="A140" s="84" t="s">
        <v>649</v>
      </c>
      <c r="B140" s="190"/>
      <c r="C140" s="223" t="s">
        <v>229</v>
      </c>
      <c r="D140" s="252"/>
      <c r="E140" s="252"/>
      <c r="F140" s="252"/>
      <c r="G140" s="252"/>
      <c r="H140" s="252"/>
      <c r="I140" s="252"/>
      <c r="J140" s="252"/>
      <c r="K140" s="218"/>
      <c r="L140" s="218"/>
      <c r="M140" s="218"/>
      <c r="N140" s="218"/>
      <c r="O140" s="218"/>
      <c r="P140" s="218"/>
      <c r="Q140" s="218"/>
      <c r="R140" s="34">
        <f>R139-R138</f>
        <v>14507097.680000007</v>
      </c>
      <c r="S140" s="34">
        <f t="shared" ref="S140:T140" si="39">S139-S138</f>
        <v>14933927.239999995</v>
      </c>
      <c r="T140" s="34">
        <f t="shared" si="39"/>
        <v>-1701610.5400000066</v>
      </c>
      <c r="U140" s="34"/>
      <c r="V140" s="34"/>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77"/>
      <c r="AY140" s="196"/>
    </row>
    <row r="141" spans="1:51" s="9" customFormat="1" x14ac:dyDescent="0.25">
      <c r="A141" s="31" t="s">
        <v>244</v>
      </c>
      <c r="B141" s="31"/>
      <c r="C141" s="223" t="s">
        <v>673</v>
      </c>
      <c r="D141" s="253"/>
      <c r="E141" s="253"/>
      <c r="F141" s="253"/>
      <c r="G141" s="253"/>
      <c r="H141" s="253"/>
      <c r="I141" s="253"/>
      <c r="J141" s="253"/>
      <c r="K141" s="57"/>
      <c r="L141" s="57"/>
      <c r="M141" s="57"/>
      <c r="N141" s="57"/>
      <c r="O141" s="57"/>
      <c r="P141" s="62"/>
      <c r="Q141" s="57">
        <v>19980303</v>
      </c>
      <c r="R141" s="25"/>
      <c r="S141" s="25"/>
      <c r="T141" s="57"/>
      <c r="U141" s="25">
        <v>46539018.460000001</v>
      </c>
      <c r="V141" s="25">
        <v>40232239.859999999</v>
      </c>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53"/>
      <c r="AR141" s="253"/>
      <c r="AS141" s="253"/>
      <c r="AT141" s="253"/>
      <c r="AU141" s="253"/>
      <c r="AV141" s="253"/>
      <c r="AW141" s="253"/>
      <c r="AX141" s="277"/>
      <c r="AY141" s="196"/>
    </row>
    <row r="142" spans="1:51" s="9" customFormat="1" x14ac:dyDescent="0.25">
      <c r="A142" s="31" t="s">
        <v>639</v>
      </c>
      <c r="B142" s="31"/>
      <c r="C142" s="223" t="s">
        <v>673</v>
      </c>
      <c r="D142" s="253"/>
      <c r="E142" s="253"/>
      <c r="F142" s="253"/>
      <c r="G142" s="253"/>
      <c r="H142" s="253"/>
      <c r="I142" s="253"/>
      <c r="J142" s="253"/>
      <c r="K142" s="57"/>
      <c r="L142" s="57"/>
      <c r="M142" s="57"/>
      <c r="N142" s="57"/>
      <c r="O142" s="57"/>
      <c r="P142" s="57"/>
      <c r="Q142" s="57">
        <v>31378262.77</v>
      </c>
      <c r="R142" s="25"/>
      <c r="S142" s="25"/>
      <c r="T142" s="25"/>
      <c r="U142" s="25">
        <v>57463497.219999999</v>
      </c>
      <c r="V142" s="25">
        <v>94347025.340000004</v>
      </c>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53"/>
      <c r="AR142" s="253"/>
      <c r="AS142" s="253"/>
      <c r="AT142" s="253"/>
      <c r="AU142" s="253"/>
      <c r="AV142" s="253"/>
      <c r="AW142" s="253"/>
      <c r="AX142" s="277"/>
      <c r="AY142" s="196"/>
    </row>
    <row r="143" spans="1:51" s="192" customFormat="1" x14ac:dyDescent="0.25">
      <c r="A143" s="190" t="s">
        <v>650</v>
      </c>
      <c r="B143" s="190"/>
      <c r="C143" s="223" t="s">
        <v>673</v>
      </c>
      <c r="D143" s="252"/>
      <c r="E143" s="252"/>
      <c r="F143" s="252"/>
      <c r="G143" s="252"/>
      <c r="H143" s="252"/>
      <c r="I143" s="252"/>
      <c r="J143" s="252"/>
      <c r="K143" s="218"/>
      <c r="L143" s="218"/>
      <c r="M143" s="218"/>
      <c r="N143" s="218"/>
      <c r="O143" s="218"/>
      <c r="P143" s="218"/>
      <c r="Q143" s="218">
        <f>Q142-Q141</f>
        <v>11397959.77</v>
      </c>
      <c r="R143" s="34"/>
      <c r="S143" s="34"/>
      <c r="T143" s="34"/>
      <c r="U143" s="218">
        <f>U142-U141</f>
        <v>10924478.759999998</v>
      </c>
      <c r="V143" s="218">
        <f>V142-V141</f>
        <v>54114785.480000004</v>
      </c>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77"/>
      <c r="AY143" s="196"/>
    </row>
    <row r="144" spans="1:51" s="3" customFormat="1" x14ac:dyDescent="0.25">
      <c r="A144" s="23"/>
      <c r="B144" s="23"/>
      <c r="C144" s="229"/>
      <c r="D144" s="247"/>
      <c r="E144" s="247"/>
      <c r="F144" s="247"/>
      <c r="G144" s="247"/>
      <c r="H144" s="247"/>
      <c r="I144" s="247"/>
      <c r="J144" s="247"/>
      <c r="K144" s="254"/>
      <c r="L144" s="254"/>
      <c r="M144" s="254"/>
      <c r="N144" s="254"/>
      <c r="O144" s="254"/>
      <c r="P144" s="254"/>
      <c r="Q144" s="254"/>
      <c r="R144" s="7"/>
      <c r="S144" s="7"/>
      <c r="T144" s="7"/>
      <c r="U144" s="7"/>
      <c r="V144" s="7"/>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7"/>
      <c r="AR144" s="247"/>
      <c r="AS144" s="247"/>
      <c r="AT144" s="247"/>
      <c r="AU144" s="247"/>
      <c r="AV144" s="247"/>
      <c r="AW144" s="247"/>
      <c r="AX144" s="279"/>
      <c r="AY144" s="197"/>
    </row>
    <row r="145" spans="1:51" s="8" customFormat="1" x14ac:dyDescent="0.25">
      <c r="A145" s="30" t="s">
        <v>120</v>
      </c>
      <c r="B145" s="30"/>
      <c r="C145" s="229"/>
      <c r="D145" s="255"/>
      <c r="E145" s="255"/>
      <c r="F145" s="255"/>
      <c r="G145" s="255"/>
      <c r="H145" s="255"/>
      <c r="I145" s="255"/>
      <c r="J145" s="255"/>
      <c r="K145" s="256">
        <f>K125-SUM(K104:K124)</f>
        <v>0</v>
      </c>
      <c r="L145" s="256">
        <f t="shared" ref="L145:V145" si="40">L125-SUM(L104:L124)</f>
        <v>0</v>
      </c>
      <c r="M145" s="256">
        <f t="shared" si="40"/>
        <v>0</v>
      </c>
      <c r="N145" s="256">
        <f t="shared" si="40"/>
        <v>0</v>
      </c>
      <c r="O145" s="256">
        <f t="shared" si="40"/>
        <v>0</v>
      </c>
      <c r="P145" s="256">
        <f t="shared" si="40"/>
        <v>0</v>
      </c>
      <c r="Q145" s="256">
        <f t="shared" si="40"/>
        <v>0</v>
      </c>
      <c r="R145" s="256">
        <f t="shared" si="40"/>
        <v>0</v>
      </c>
      <c r="S145" s="256">
        <f t="shared" si="40"/>
        <v>0</v>
      </c>
      <c r="T145" s="256">
        <f t="shared" si="40"/>
        <v>0</v>
      </c>
      <c r="U145" s="256">
        <f t="shared" si="40"/>
        <v>0</v>
      </c>
      <c r="V145" s="256">
        <f t="shared" si="40"/>
        <v>0</v>
      </c>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55"/>
      <c r="AR145" s="255"/>
      <c r="AS145" s="255"/>
      <c r="AT145" s="255"/>
      <c r="AU145" s="255"/>
      <c r="AV145" s="255"/>
      <c r="AW145" s="255"/>
      <c r="AX145" s="279"/>
      <c r="AY145" s="197"/>
    </row>
    <row r="146" spans="1:51" s="35" customFormat="1" x14ac:dyDescent="0.25">
      <c r="A146" s="30" t="s">
        <v>42</v>
      </c>
      <c r="B146" s="28"/>
      <c r="C146" s="229"/>
      <c r="D146" s="252"/>
      <c r="E146" s="252"/>
      <c r="F146" s="252"/>
      <c r="G146" s="252"/>
      <c r="H146" s="252"/>
      <c r="I146" s="252"/>
      <c r="J146" s="252"/>
      <c r="K146" s="256">
        <f>K135-SUM(K128:K134)</f>
        <v>0</v>
      </c>
      <c r="L146" s="256">
        <f t="shared" ref="L146:V146" si="41">L135-SUM(L128:L134)</f>
        <v>0</v>
      </c>
      <c r="M146" s="256">
        <f t="shared" si="41"/>
        <v>0</v>
      </c>
      <c r="N146" s="256">
        <f t="shared" si="41"/>
        <v>0</v>
      </c>
      <c r="O146" s="256">
        <f t="shared" si="41"/>
        <v>0</v>
      </c>
      <c r="P146" s="256">
        <f t="shared" si="41"/>
        <v>0</v>
      </c>
      <c r="Q146" s="256">
        <f t="shared" si="41"/>
        <v>0</v>
      </c>
      <c r="R146" s="256">
        <f t="shared" si="41"/>
        <v>0</v>
      </c>
      <c r="S146" s="256">
        <f t="shared" si="41"/>
        <v>0</v>
      </c>
      <c r="T146" s="256">
        <f t="shared" si="41"/>
        <v>0</v>
      </c>
      <c r="U146" s="256">
        <f t="shared" si="41"/>
        <v>0</v>
      </c>
      <c r="V146" s="256">
        <f t="shared" si="41"/>
        <v>0</v>
      </c>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52"/>
      <c r="AR146" s="252"/>
      <c r="AS146" s="252"/>
      <c r="AT146" s="252"/>
      <c r="AU146" s="252"/>
      <c r="AV146" s="252"/>
      <c r="AW146" s="252"/>
      <c r="AX146" s="277"/>
      <c r="AY146" s="196"/>
    </row>
    <row r="147" spans="1:51" s="35" customFormat="1" x14ac:dyDescent="0.25">
      <c r="A147" s="30"/>
      <c r="B147" s="28"/>
      <c r="C147" s="229"/>
      <c r="D147" s="252"/>
      <c r="E147" s="252"/>
      <c r="F147" s="252"/>
      <c r="G147" s="252"/>
      <c r="H147" s="252"/>
      <c r="I147" s="252"/>
      <c r="J147" s="252"/>
      <c r="K147" s="218"/>
      <c r="L147" s="218"/>
      <c r="M147" s="218"/>
      <c r="N147" s="218"/>
      <c r="O147" s="218"/>
      <c r="P147" s="218"/>
      <c r="Q147" s="218"/>
      <c r="R147" s="256"/>
      <c r="S147" s="256"/>
      <c r="T147" s="256"/>
      <c r="U147" s="256"/>
      <c r="V147" s="256"/>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52"/>
      <c r="AR147" s="252"/>
      <c r="AS147" s="252"/>
      <c r="AT147" s="252"/>
      <c r="AU147" s="252"/>
      <c r="AV147" s="252"/>
      <c r="AW147" s="252"/>
      <c r="AX147" s="277"/>
      <c r="AY147" s="196"/>
    </row>
    <row r="148" spans="1:51" x14ac:dyDescent="0.25">
      <c r="A148" s="36"/>
      <c r="B148" s="36"/>
      <c r="C148" s="23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61"/>
      <c r="AQ148" s="261"/>
      <c r="AR148" s="261"/>
      <c r="AS148" s="261"/>
      <c r="AT148" s="261"/>
      <c r="AU148" s="261"/>
      <c r="AV148" s="261"/>
      <c r="AW148" s="261"/>
      <c r="AX148" s="277"/>
      <c r="AY148" s="196"/>
    </row>
    <row r="149" spans="1:51" s="20" customFormat="1" x14ac:dyDescent="0.25">
      <c r="A149" s="23" t="s">
        <v>722</v>
      </c>
      <c r="B149" s="24"/>
      <c r="C149" s="229"/>
      <c r="D149" s="266"/>
      <c r="E149" s="266"/>
      <c r="F149" s="266"/>
      <c r="G149" s="266"/>
      <c r="H149" s="266"/>
      <c r="I149" s="266"/>
      <c r="J149" s="266"/>
      <c r="K149" s="266"/>
      <c r="L149" s="266"/>
      <c r="M149" s="266"/>
      <c r="N149" s="266"/>
      <c r="O149" s="266"/>
      <c r="P149" s="266"/>
      <c r="Q149" s="266"/>
      <c r="R149" s="266"/>
      <c r="S149" s="266"/>
      <c r="T149" s="266"/>
      <c r="U149" s="266"/>
      <c r="V149" s="266"/>
      <c r="W149" s="24" t="s">
        <v>43</v>
      </c>
      <c r="X149" s="24" t="s">
        <v>44</v>
      </c>
      <c r="Y149" s="20" t="s">
        <v>208</v>
      </c>
      <c r="Z149" s="20" t="s">
        <v>209</v>
      </c>
      <c r="AA149" s="20" t="s">
        <v>210</v>
      </c>
      <c r="AB149" s="20" t="s">
        <v>211</v>
      </c>
      <c r="AC149" s="20" t="s">
        <v>212</v>
      </c>
      <c r="AD149" s="20" t="s">
        <v>213</v>
      </c>
      <c r="AE149" s="20" t="s">
        <v>214</v>
      </c>
      <c r="AF149" s="20" t="s">
        <v>215</v>
      </c>
      <c r="AG149" s="20" t="s">
        <v>216</v>
      </c>
      <c r="AH149" s="20" t="s">
        <v>217</v>
      </c>
      <c r="AI149" s="20" t="s">
        <v>574</v>
      </c>
      <c r="AJ149" s="20" t="s">
        <v>575</v>
      </c>
      <c r="AK149" s="20" t="s">
        <v>595</v>
      </c>
      <c r="AL149" s="20" t="s">
        <v>594</v>
      </c>
      <c r="AM149" s="20" t="s">
        <v>596</v>
      </c>
      <c r="AN149" s="20" t="s">
        <v>597</v>
      </c>
      <c r="AO149" s="266"/>
      <c r="AP149" s="266"/>
      <c r="AQ149" s="266"/>
      <c r="AR149" s="266"/>
      <c r="AS149" s="266"/>
      <c r="AT149" s="266"/>
      <c r="AU149" s="266"/>
      <c r="AV149" s="266"/>
      <c r="AW149" s="266"/>
      <c r="AX149" s="282"/>
      <c r="AY149" s="95"/>
    </row>
    <row r="150" spans="1:51" x14ac:dyDescent="0.25">
      <c r="A150" s="23" t="s">
        <v>37</v>
      </c>
      <c r="C150" s="229"/>
      <c r="D150" s="248"/>
      <c r="E150" s="248"/>
      <c r="F150" s="248"/>
      <c r="G150" s="248"/>
      <c r="H150" s="248"/>
      <c r="I150" s="248"/>
      <c r="J150" s="248"/>
      <c r="K150" s="248"/>
      <c r="L150" s="248"/>
      <c r="M150" s="248"/>
      <c r="N150" s="248"/>
      <c r="O150" s="248"/>
      <c r="P150" s="248"/>
      <c r="Q150" s="248"/>
      <c r="R150" s="248"/>
      <c r="S150" s="248"/>
      <c r="T150" s="248"/>
      <c r="U150" s="248"/>
      <c r="V150" s="248"/>
      <c r="AI150" s="62"/>
      <c r="AJ150" s="62"/>
      <c r="AK150" s="62"/>
      <c r="AL150" s="62"/>
      <c r="AM150" s="62"/>
      <c r="AN150" s="62"/>
      <c r="AO150" s="248"/>
      <c r="AP150" s="248"/>
      <c r="AQ150" s="248"/>
      <c r="AR150" s="248"/>
      <c r="AS150" s="248"/>
      <c r="AT150" s="248"/>
      <c r="AU150" s="248"/>
      <c r="AV150" s="248"/>
      <c r="AW150" s="248"/>
      <c r="AX150" s="277"/>
      <c r="AY150" s="196"/>
    </row>
    <row r="151" spans="1:51" x14ac:dyDescent="0.25">
      <c r="A151" s="83" t="s">
        <v>38</v>
      </c>
      <c r="B151" s="1"/>
      <c r="C151" s="229" t="s">
        <v>230</v>
      </c>
      <c r="D151" s="248"/>
      <c r="E151" s="248"/>
      <c r="F151" s="248"/>
      <c r="G151" s="248"/>
      <c r="H151" s="248"/>
      <c r="I151" s="248"/>
      <c r="J151" s="248"/>
      <c r="K151" s="248"/>
      <c r="L151" s="248"/>
      <c r="M151" s="248"/>
      <c r="N151" s="248"/>
      <c r="O151" s="248"/>
      <c r="P151" s="248"/>
      <c r="Q151" s="248"/>
      <c r="R151" s="248"/>
      <c r="S151" s="248"/>
      <c r="T151" s="248"/>
      <c r="U151" s="248"/>
      <c r="V151" s="248"/>
      <c r="W151" s="6">
        <v>412696.2</v>
      </c>
      <c r="X151" s="6">
        <v>425000</v>
      </c>
      <c r="Y151" s="6">
        <v>425000</v>
      </c>
      <c r="Z151" s="6">
        <v>600000</v>
      </c>
      <c r="AA151" s="6">
        <v>650000</v>
      </c>
      <c r="AB151" s="6">
        <v>780000</v>
      </c>
      <c r="AC151" s="6">
        <v>910000</v>
      </c>
      <c r="AD151" s="6">
        <v>1700000</v>
      </c>
      <c r="AE151" s="6">
        <v>630000</v>
      </c>
      <c r="AF151" s="6">
        <v>725000</v>
      </c>
      <c r="AG151" s="6">
        <v>400000</v>
      </c>
      <c r="AH151" s="6">
        <v>380000</v>
      </c>
      <c r="AI151" s="62">
        <v>945000</v>
      </c>
      <c r="AJ151" s="62">
        <v>900000</v>
      </c>
      <c r="AK151" s="62">
        <v>907500</v>
      </c>
      <c r="AL151" s="62">
        <v>1087500</v>
      </c>
      <c r="AM151" s="62">
        <v>1087500</v>
      </c>
      <c r="AN151" s="62"/>
      <c r="AO151" s="248"/>
      <c r="AP151" s="248"/>
      <c r="AQ151" s="248"/>
      <c r="AR151" s="248"/>
      <c r="AS151" s="248"/>
      <c r="AT151" s="248"/>
      <c r="AU151" s="248"/>
      <c r="AV151" s="248"/>
      <c r="AW151" s="248"/>
      <c r="AX151" s="277"/>
      <c r="AY151" s="196"/>
    </row>
    <row r="152" spans="1:51" x14ac:dyDescent="0.25">
      <c r="A152" s="83" t="s">
        <v>599</v>
      </c>
      <c r="B152" s="1"/>
      <c r="C152" s="229" t="s">
        <v>230</v>
      </c>
      <c r="D152" s="248"/>
      <c r="E152" s="248"/>
      <c r="F152" s="248"/>
      <c r="G152" s="248"/>
      <c r="H152" s="248"/>
      <c r="I152" s="248"/>
      <c r="J152" s="248"/>
      <c r="K152" s="248"/>
      <c r="L152" s="248"/>
      <c r="M152" s="248"/>
      <c r="N152" s="248"/>
      <c r="O152" s="248"/>
      <c r="P152" s="248"/>
      <c r="Q152" s="248"/>
      <c r="R152" s="248"/>
      <c r="S152" s="248"/>
      <c r="T152" s="248"/>
      <c r="U152" s="248"/>
      <c r="V152" s="248"/>
      <c r="W152" s="6">
        <v>481.34</v>
      </c>
      <c r="X152" s="6">
        <v>958.17</v>
      </c>
      <c r="Y152" s="6">
        <v>5705.9</v>
      </c>
      <c r="Z152" s="6">
        <v>598.07000000000005</v>
      </c>
      <c r="AA152" s="6">
        <v>788.38</v>
      </c>
      <c r="AB152" s="6">
        <v>145052.84</v>
      </c>
      <c r="AC152" s="6">
        <v>255092.71</v>
      </c>
      <c r="AD152" s="6">
        <v>576.29999999999995</v>
      </c>
      <c r="AE152" s="6">
        <v>959.14</v>
      </c>
      <c r="AF152" s="6">
        <v>517.66</v>
      </c>
      <c r="AG152" s="6">
        <v>767.91</v>
      </c>
      <c r="AH152" s="6">
        <v>615.74</v>
      </c>
      <c r="AI152" s="62">
        <v>1006.41</v>
      </c>
      <c r="AJ152" s="62">
        <v>1040.6400000000001</v>
      </c>
      <c r="AK152" s="62">
        <v>17223.45</v>
      </c>
      <c r="AL152" s="62">
        <v>5738.21</v>
      </c>
      <c r="AM152" s="62">
        <v>14742.57</v>
      </c>
      <c r="AN152" s="62">
        <v>692.75</v>
      </c>
      <c r="AO152" s="248"/>
      <c r="AP152" s="248"/>
      <c r="AQ152" s="248"/>
      <c r="AR152" s="248"/>
      <c r="AS152" s="248"/>
      <c r="AT152" s="248"/>
      <c r="AU152" s="248"/>
      <c r="AV152" s="248"/>
      <c r="AW152" s="248"/>
      <c r="AX152" s="277"/>
      <c r="AY152" s="196"/>
    </row>
    <row r="153" spans="1:51" s="180" customFormat="1" x14ac:dyDescent="0.25">
      <c r="A153" s="83" t="s">
        <v>602</v>
      </c>
      <c r="C153" s="229" t="s">
        <v>230</v>
      </c>
      <c r="D153" s="248"/>
      <c r="E153" s="248"/>
      <c r="F153" s="248"/>
      <c r="G153" s="248"/>
      <c r="H153" s="248"/>
      <c r="I153" s="248"/>
      <c r="J153" s="248"/>
      <c r="K153" s="248"/>
      <c r="L153" s="248"/>
      <c r="M153" s="248"/>
      <c r="N153" s="248"/>
      <c r="O153" s="248"/>
      <c r="P153" s="248"/>
      <c r="Q153" s="248"/>
      <c r="R153" s="248"/>
      <c r="S153" s="248"/>
      <c r="T153" s="248"/>
      <c r="U153" s="248"/>
      <c r="V153" s="248"/>
      <c r="W153" s="6"/>
      <c r="X153" s="6"/>
      <c r="Y153" s="6"/>
      <c r="Z153" s="6"/>
      <c r="AA153" s="6"/>
      <c r="AB153" s="6"/>
      <c r="AC153" s="6"/>
      <c r="AD153" s="6"/>
      <c r="AE153" s="6"/>
      <c r="AF153" s="6"/>
      <c r="AG153" s="6"/>
      <c r="AH153" s="6"/>
      <c r="AI153" s="62"/>
      <c r="AJ153" s="62"/>
      <c r="AK153" s="62"/>
      <c r="AL153" s="62"/>
      <c r="AM153" s="62"/>
      <c r="AN153" s="62">
        <v>112</v>
      </c>
      <c r="AO153" s="248"/>
      <c r="AP153" s="248"/>
      <c r="AQ153" s="248"/>
      <c r="AR153" s="248"/>
      <c r="AS153" s="248"/>
      <c r="AT153" s="248"/>
      <c r="AU153" s="248"/>
      <c r="AV153" s="248"/>
      <c r="AW153" s="248"/>
      <c r="AX153" s="277"/>
      <c r="AY153" s="196"/>
    </row>
    <row r="154" spans="1:51" s="180" customFormat="1" x14ac:dyDescent="0.25">
      <c r="A154" s="83" t="s">
        <v>570</v>
      </c>
      <c r="C154" s="229" t="s">
        <v>230</v>
      </c>
      <c r="D154" s="248"/>
      <c r="E154" s="248"/>
      <c r="F154" s="248"/>
      <c r="G154" s="248"/>
      <c r="H154" s="248"/>
      <c r="I154" s="248"/>
      <c r="J154" s="248"/>
      <c r="K154" s="248"/>
      <c r="L154" s="248"/>
      <c r="M154" s="248"/>
      <c r="N154" s="248"/>
      <c r="O154" s="248"/>
      <c r="P154" s="248"/>
      <c r="Q154" s="248"/>
      <c r="R154" s="248"/>
      <c r="S154" s="248"/>
      <c r="T154" s="248"/>
      <c r="U154" s="248"/>
      <c r="V154" s="248"/>
      <c r="W154" s="6"/>
      <c r="X154" s="6"/>
      <c r="Y154" s="6"/>
      <c r="Z154" s="6"/>
      <c r="AA154" s="6"/>
      <c r="AB154" s="6"/>
      <c r="AC154" s="6"/>
      <c r="AD154" s="6"/>
      <c r="AE154" s="6"/>
      <c r="AF154" s="6"/>
      <c r="AG154" s="6"/>
      <c r="AH154" s="6"/>
      <c r="AI154" s="62">
        <v>47.48</v>
      </c>
      <c r="AJ154" s="62">
        <v>213.61</v>
      </c>
      <c r="AK154" s="62">
        <v>41.02</v>
      </c>
      <c r="AL154" s="62">
        <v>236.03</v>
      </c>
      <c r="AM154" s="62">
        <v>212.71</v>
      </c>
      <c r="AN154" s="62">
        <v>209.11</v>
      </c>
      <c r="AO154" s="248"/>
      <c r="AP154" s="248"/>
      <c r="AQ154" s="248"/>
      <c r="AR154" s="248"/>
      <c r="AS154" s="248"/>
      <c r="AT154" s="248"/>
      <c r="AU154" s="248"/>
      <c r="AV154" s="248"/>
      <c r="AW154" s="248"/>
      <c r="AX154" s="277"/>
      <c r="AY154" s="196"/>
    </row>
    <row r="155" spans="1:51" x14ac:dyDescent="0.25">
      <c r="A155" s="83" t="s">
        <v>218</v>
      </c>
      <c r="B155" s="1"/>
      <c r="C155" s="229" t="s">
        <v>230</v>
      </c>
      <c r="D155" s="248"/>
      <c r="E155" s="248"/>
      <c r="F155" s="248"/>
      <c r="G155" s="248"/>
      <c r="H155" s="248"/>
      <c r="I155" s="248"/>
      <c r="J155" s="248"/>
      <c r="K155" s="248"/>
      <c r="L155" s="248"/>
      <c r="M155" s="248"/>
      <c r="N155" s="248"/>
      <c r="O155" s="248"/>
      <c r="P155" s="248"/>
      <c r="Q155" s="248"/>
      <c r="R155" s="248"/>
      <c r="S155" s="248"/>
      <c r="T155" s="248"/>
      <c r="U155" s="248"/>
      <c r="V155" s="248"/>
      <c r="Y155" s="6">
        <v>50032.639999999999</v>
      </c>
      <c r="Z155" s="6">
        <v>43929.54</v>
      </c>
      <c r="AA155" s="6">
        <v>36164.06</v>
      </c>
      <c r="AB155" s="6">
        <v>38285.18</v>
      </c>
      <c r="AC155" s="6">
        <v>49716.73</v>
      </c>
      <c r="AD155" s="6">
        <v>29914.6</v>
      </c>
      <c r="AE155" s="6">
        <v>29984.38</v>
      </c>
      <c r="AF155" s="6">
        <v>11469.83</v>
      </c>
      <c r="AG155" s="6">
        <v>21122.69</v>
      </c>
      <c r="AH155" s="6">
        <v>11929.05</v>
      </c>
      <c r="AI155" s="62">
        <v>15425.47</v>
      </c>
      <c r="AJ155" s="62">
        <v>2673.46</v>
      </c>
      <c r="AK155" s="62">
        <v>61458.04</v>
      </c>
      <c r="AL155" s="62">
        <v>60628.34</v>
      </c>
      <c r="AM155" s="62">
        <v>51514.78</v>
      </c>
      <c r="AN155" s="62">
        <v>63087.48</v>
      </c>
      <c r="AO155" s="248"/>
      <c r="AP155" s="248"/>
      <c r="AQ155" s="248"/>
      <c r="AR155" s="248"/>
      <c r="AS155" s="248"/>
      <c r="AT155" s="248"/>
      <c r="AU155" s="248"/>
      <c r="AV155" s="248"/>
      <c r="AW155" s="248"/>
      <c r="AX155" s="277"/>
      <c r="AY155" s="196"/>
    </row>
    <row r="156" spans="1:51" x14ac:dyDescent="0.25">
      <c r="A156" s="83" t="s">
        <v>223</v>
      </c>
      <c r="B156" s="1"/>
      <c r="C156" s="229" t="s">
        <v>230</v>
      </c>
      <c r="D156" s="248"/>
      <c r="E156" s="248"/>
      <c r="F156" s="248"/>
      <c r="G156" s="248"/>
      <c r="H156" s="248"/>
      <c r="I156" s="248"/>
      <c r="J156" s="248"/>
      <c r="K156" s="248"/>
      <c r="L156" s="248"/>
      <c r="M156" s="248"/>
      <c r="N156" s="248"/>
      <c r="O156" s="248"/>
      <c r="P156" s="248"/>
      <c r="Q156" s="248"/>
      <c r="R156" s="248"/>
      <c r="S156" s="248"/>
      <c r="T156" s="248"/>
      <c r="U156" s="248"/>
      <c r="V156" s="248"/>
      <c r="AD156" s="6">
        <v>45864.5</v>
      </c>
      <c r="AE156" s="6">
        <v>109150</v>
      </c>
      <c r="AG156" s="6">
        <v>50400</v>
      </c>
      <c r="AI156" s="62">
        <v>106670.05</v>
      </c>
      <c r="AJ156" s="62">
        <v>2186</v>
      </c>
      <c r="AK156" s="62"/>
      <c r="AL156" s="62"/>
      <c r="AM156" s="62"/>
      <c r="AN156" s="62"/>
      <c r="AO156" s="248"/>
      <c r="AP156" s="248"/>
      <c r="AQ156" s="248"/>
      <c r="AR156" s="248"/>
      <c r="AS156" s="248"/>
      <c r="AT156" s="248"/>
      <c r="AU156" s="248"/>
      <c r="AV156" s="248"/>
      <c r="AW156" s="248"/>
      <c r="AX156" s="277"/>
      <c r="AY156" s="196"/>
    </row>
    <row r="157" spans="1:51" s="180" customFormat="1" x14ac:dyDescent="0.25">
      <c r="A157" s="83" t="s">
        <v>590</v>
      </c>
      <c r="C157" s="229" t="s">
        <v>230</v>
      </c>
      <c r="D157" s="248"/>
      <c r="E157" s="248"/>
      <c r="F157" s="248"/>
      <c r="G157" s="248"/>
      <c r="H157" s="248"/>
      <c r="I157" s="248"/>
      <c r="J157" s="248"/>
      <c r="K157" s="248"/>
      <c r="L157" s="248"/>
      <c r="M157" s="248"/>
      <c r="N157" s="248"/>
      <c r="O157" s="248"/>
      <c r="P157" s="248"/>
      <c r="Q157" s="248"/>
      <c r="R157" s="248"/>
      <c r="S157" s="248"/>
      <c r="T157" s="248"/>
      <c r="U157" s="248"/>
      <c r="V157" s="248"/>
      <c r="W157" s="6"/>
      <c r="X157" s="6"/>
      <c r="Y157" s="6"/>
      <c r="Z157" s="6"/>
      <c r="AA157" s="6"/>
      <c r="AB157" s="6"/>
      <c r="AC157" s="6"/>
      <c r="AD157" s="6"/>
      <c r="AE157" s="6"/>
      <c r="AF157" s="6"/>
      <c r="AG157" s="6"/>
      <c r="AH157" s="6"/>
      <c r="AI157" s="62"/>
      <c r="AJ157" s="62"/>
      <c r="AK157" s="62"/>
      <c r="AL157" s="62">
        <v>11784.51</v>
      </c>
      <c r="AM157" s="62">
        <v>30300</v>
      </c>
      <c r="AN157" s="62"/>
      <c r="AO157" s="248"/>
      <c r="AP157" s="248"/>
      <c r="AQ157" s="248"/>
      <c r="AR157" s="248"/>
      <c r="AS157" s="248"/>
      <c r="AT157" s="248"/>
      <c r="AU157" s="248"/>
      <c r="AV157" s="248"/>
      <c r="AW157" s="248"/>
      <c r="AX157" s="277"/>
      <c r="AY157" s="196"/>
    </row>
    <row r="158" spans="1:51" s="180" customFormat="1" x14ac:dyDescent="0.25">
      <c r="A158" s="83" t="s">
        <v>591</v>
      </c>
      <c r="C158" s="229" t="s">
        <v>230</v>
      </c>
      <c r="D158" s="248"/>
      <c r="E158" s="248"/>
      <c r="F158" s="248"/>
      <c r="G158" s="248"/>
      <c r="H158" s="248"/>
      <c r="I158" s="248"/>
      <c r="J158" s="248"/>
      <c r="K158" s="248"/>
      <c r="L158" s="248"/>
      <c r="M158" s="248"/>
      <c r="N158" s="248"/>
      <c r="O158" s="248"/>
      <c r="P158" s="248"/>
      <c r="Q158" s="248"/>
      <c r="R158" s="248"/>
      <c r="S158" s="248"/>
      <c r="T158" s="248"/>
      <c r="U158" s="248"/>
      <c r="V158" s="248"/>
      <c r="W158" s="6"/>
      <c r="X158" s="6"/>
      <c r="Y158" s="6"/>
      <c r="Z158" s="6"/>
      <c r="AA158" s="6"/>
      <c r="AB158" s="6"/>
      <c r="AC158" s="6"/>
      <c r="AD158" s="6"/>
      <c r="AE158" s="6"/>
      <c r="AF158" s="6"/>
      <c r="AG158" s="6"/>
      <c r="AH158" s="6"/>
      <c r="AI158" s="62"/>
      <c r="AJ158" s="62"/>
      <c r="AK158" s="62"/>
      <c r="AL158" s="62">
        <v>52250</v>
      </c>
      <c r="AM158" s="62">
        <v>52250</v>
      </c>
      <c r="AN158" s="62"/>
      <c r="AO158" s="248"/>
      <c r="AP158" s="248"/>
      <c r="AQ158" s="248"/>
      <c r="AR158" s="248"/>
      <c r="AS158" s="248"/>
      <c r="AT158" s="248"/>
      <c r="AU158" s="248"/>
      <c r="AV158" s="248"/>
      <c r="AW158" s="248"/>
      <c r="AX158" s="277"/>
      <c r="AY158" s="196"/>
    </row>
    <row r="159" spans="1:51" x14ac:dyDescent="0.25">
      <c r="A159" s="83" t="s">
        <v>224</v>
      </c>
      <c r="B159" s="1"/>
      <c r="C159" s="229" t="s">
        <v>230</v>
      </c>
      <c r="D159" s="248"/>
      <c r="E159" s="248"/>
      <c r="F159" s="248"/>
      <c r="G159" s="248"/>
      <c r="H159" s="248"/>
      <c r="I159" s="248"/>
      <c r="J159" s="248"/>
      <c r="K159" s="248"/>
      <c r="L159" s="248"/>
      <c r="M159" s="248"/>
      <c r="N159" s="248"/>
      <c r="O159" s="248"/>
      <c r="P159" s="248"/>
      <c r="Q159" s="248"/>
      <c r="R159" s="248"/>
      <c r="S159" s="248"/>
      <c r="T159" s="248"/>
      <c r="U159" s="248"/>
      <c r="V159" s="248"/>
      <c r="AD159" s="6">
        <v>74664.600000000006</v>
      </c>
      <c r="AE159" s="6">
        <v>58783.05</v>
      </c>
      <c r="AG159" s="6">
        <v>33426.92</v>
      </c>
      <c r="AI159" s="62">
        <v>159029.95000000001</v>
      </c>
      <c r="AJ159" s="62">
        <v>1251.53</v>
      </c>
      <c r="AK159" s="62"/>
      <c r="AL159" s="62"/>
      <c r="AM159" s="62"/>
      <c r="AN159" s="62"/>
      <c r="AO159" s="248"/>
      <c r="AP159" s="248"/>
      <c r="AQ159" s="248"/>
      <c r="AR159" s="248"/>
      <c r="AS159" s="248"/>
      <c r="AT159" s="248"/>
      <c r="AU159" s="248"/>
      <c r="AV159" s="248"/>
      <c r="AW159" s="248"/>
      <c r="AX159" s="277"/>
      <c r="AY159" s="196"/>
    </row>
    <row r="160" spans="1:51" s="180" customFormat="1" x14ac:dyDescent="0.25">
      <c r="A160" s="83" t="s">
        <v>600</v>
      </c>
      <c r="C160" s="229" t="s">
        <v>230</v>
      </c>
      <c r="D160" s="248"/>
      <c r="E160" s="248"/>
      <c r="F160" s="248"/>
      <c r="G160" s="248"/>
      <c r="H160" s="248"/>
      <c r="I160" s="248"/>
      <c r="J160" s="248"/>
      <c r="K160" s="248"/>
      <c r="L160" s="248"/>
      <c r="M160" s="248"/>
      <c r="N160" s="248"/>
      <c r="O160" s="248"/>
      <c r="P160" s="248"/>
      <c r="Q160" s="248"/>
      <c r="R160" s="248"/>
      <c r="S160" s="248"/>
      <c r="T160" s="248"/>
      <c r="U160" s="248"/>
      <c r="V160" s="248"/>
      <c r="W160" s="6"/>
      <c r="X160" s="6"/>
      <c r="Y160" s="6"/>
      <c r="Z160" s="6"/>
      <c r="AA160" s="6"/>
      <c r="AB160" s="6"/>
      <c r="AC160" s="6"/>
      <c r="AD160" s="6"/>
      <c r="AE160" s="6"/>
      <c r="AF160" s="6"/>
      <c r="AG160" s="6"/>
      <c r="AH160" s="6"/>
      <c r="AI160" s="62"/>
      <c r="AJ160" s="62"/>
      <c r="AK160" s="62"/>
      <c r="AL160" s="62"/>
      <c r="AM160" s="62">
        <v>9230.58</v>
      </c>
      <c r="AN160" s="62"/>
      <c r="AO160" s="248"/>
      <c r="AP160" s="248"/>
      <c r="AQ160" s="248"/>
      <c r="AR160" s="248"/>
      <c r="AS160" s="248"/>
      <c r="AT160" s="248"/>
      <c r="AU160" s="248"/>
      <c r="AV160" s="248"/>
      <c r="AW160" s="248"/>
      <c r="AX160" s="277"/>
      <c r="AY160" s="196"/>
    </row>
    <row r="161" spans="1:51" s="180" customFormat="1" x14ac:dyDescent="0.25">
      <c r="A161" s="83" t="s">
        <v>593</v>
      </c>
      <c r="C161" s="229" t="s">
        <v>230</v>
      </c>
      <c r="D161" s="248"/>
      <c r="E161" s="248"/>
      <c r="F161" s="248"/>
      <c r="G161" s="248"/>
      <c r="H161" s="248"/>
      <c r="I161" s="248"/>
      <c r="J161" s="248"/>
      <c r="K161" s="248"/>
      <c r="L161" s="248"/>
      <c r="M161" s="248"/>
      <c r="N161" s="248"/>
      <c r="O161" s="248"/>
      <c r="P161" s="248"/>
      <c r="Q161" s="248"/>
      <c r="R161" s="248"/>
      <c r="S161" s="248"/>
      <c r="T161" s="248"/>
      <c r="U161" s="248"/>
      <c r="V161" s="248"/>
      <c r="W161" s="6"/>
      <c r="X161" s="6"/>
      <c r="Y161" s="6"/>
      <c r="Z161" s="6"/>
      <c r="AA161" s="6"/>
      <c r="AB161" s="6"/>
      <c r="AC161" s="6"/>
      <c r="AD161" s="6"/>
      <c r="AE161" s="6"/>
      <c r="AF161" s="6"/>
      <c r="AG161" s="6"/>
      <c r="AH161" s="6"/>
      <c r="AI161" s="62"/>
      <c r="AJ161" s="62"/>
      <c r="AK161" s="62">
        <v>6993.64</v>
      </c>
      <c r="AL161" s="62">
        <v>111307.3</v>
      </c>
      <c r="AM161" s="62">
        <v>111307.3</v>
      </c>
      <c r="AN161" s="62"/>
      <c r="AO161" s="248"/>
      <c r="AP161" s="248"/>
      <c r="AQ161" s="248"/>
      <c r="AR161" s="248"/>
      <c r="AS161" s="248"/>
      <c r="AT161" s="248"/>
      <c r="AU161" s="248"/>
      <c r="AV161" s="248"/>
      <c r="AW161" s="248"/>
      <c r="AX161" s="277"/>
      <c r="AY161" s="196"/>
    </row>
    <row r="162" spans="1:51" s="180" customFormat="1" x14ac:dyDescent="0.25">
      <c r="A162" s="83" t="s">
        <v>576</v>
      </c>
      <c r="C162" s="229" t="s">
        <v>230</v>
      </c>
      <c r="D162" s="248"/>
      <c r="E162" s="248"/>
      <c r="F162" s="248"/>
      <c r="G162" s="248"/>
      <c r="H162" s="248"/>
      <c r="I162" s="248"/>
      <c r="J162" s="248"/>
      <c r="K162" s="248"/>
      <c r="L162" s="248"/>
      <c r="M162" s="248"/>
      <c r="N162" s="248"/>
      <c r="O162" s="248"/>
      <c r="P162" s="248"/>
      <c r="Q162" s="248"/>
      <c r="R162" s="248"/>
      <c r="S162" s="248"/>
      <c r="T162" s="248"/>
      <c r="U162" s="248"/>
      <c r="V162" s="248"/>
      <c r="W162" s="6"/>
      <c r="X162" s="6"/>
      <c r="Y162" s="6"/>
      <c r="Z162" s="6"/>
      <c r="AA162" s="6"/>
      <c r="AB162" s="6"/>
      <c r="AC162" s="6"/>
      <c r="AD162" s="6"/>
      <c r="AE162" s="6"/>
      <c r="AF162" s="6"/>
      <c r="AG162" s="6"/>
      <c r="AH162" s="6"/>
      <c r="AI162" s="62"/>
      <c r="AJ162" s="62">
        <v>5</v>
      </c>
      <c r="AK162" s="62">
        <v>5</v>
      </c>
      <c r="AL162" s="62">
        <v>5</v>
      </c>
      <c r="AM162" s="62">
        <v>5</v>
      </c>
      <c r="AN162" s="62"/>
      <c r="AO162" s="248"/>
      <c r="AP162" s="248"/>
      <c r="AQ162" s="248"/>
      <c r="AR162" s="248"/>
      <c r="AS162" s="248"/>
      <c r="AT162" s="248"/>
      <c r="AU162" s="248"/>
      <c r="AV162" s="248"/>
      <c r="AW162" s="248"/>
      <c r="AX162" s="277"/>
      <c r="AY162" s="196"/>
    </row>
    <row r="163" spans="1:51" x14ac:dyDescent="0.25">
      <c r="A163" s="83" t="s">
        <v>225</v>
      </c>
      <c r="B163" s="1"/>
      <c r="C163" s="229" t="s">
        <v>230</v>
      </c>
      <c r="D163" s="248"/>
      <c r="E163" s="248"/>
      <c r="F163" s="248"/>
      <c r="G163" s="248"/>
      <c r="H163" s="248"/>
      <c r="I163" s="248"/>
      <c r="J163" s="248"/>
      <c r="K163" s="248"/>
      <c r="L163" s="248"/>
      <c r="M163" s="248"/>
      <c r="N163" s="248"/>
      <c r="O163" s="248"/>
      <c r="P163" s="248"/>
      <c r="Q163" s="248"/>
      <c r="R163" s="248"/>
      <c r="S163" s="248"/>
      <c r="T163" s="248"/>
      <c r="U163" s="248"/>
      <c r="V163" s="248"/>
      <c r="AD163" s="6">
        <v>3882.34</v>
      </c>
      <c r="AE163" s="6">
        <v>4165.72</v>
      </c>
      <c r="AF163" s="6">
        <v>3046.26</v>
      </c>
      <c r="AG163" s="6">
        <v>1226.54</v>
      </c>
      <c r="AH163" s="6">
        <v>786.35</v>
      </c>
      <c r="AI163" s="62">
        <v>723.83</v>
      </c>
      <c r="AJ163" s="62">
        <v>1132.43</v>
      </c>
      <c r="AK163" s="62"/>
      <c r="AL163" s="62"/>
      <c r="AM163" s="62"/>
      <c r="AN163" s="62"/>
      <c r="AO163" s="248"/>
      <c r="AP163" s="248"/>
      <c r="AQ163" s="248"/>
      <c r="AR163" s="248"/>
      <c r="AS163" s="248"/>
      <c r="AT163" s="248"/>
      <c r="AU163" s="248"/>
      <c r="AV163" s="248"/>
      <c r="AW163" s="248"/>
      <c r="AX163" s="277"/>
      <c r="AY163" s="196"/>
    </row>
    <row r="164" spans="1:51" s="180" customFormat="1" x14ac:dyDescent="0.25">
      <c r="A164" s="83" t="s">
        <v>583</v>
      </c>
      <c r="C164" s="229" t="s">
        <v>230</v>
      </c>
      <c r="D164" s="248"/>
      <c r="E164" s="248"/>
      <c r="F164" s="248"/>
      <c r="G164" s="248"/>
      <c r="H164" s="248"/>
      <c r="I164" s="248"/>
      <c r="J164" s="248"/>
      <c r="K164" s="248"/>
      <c r="L164" s="248"/>
      <c r="M164" s="248"/>
      <c r="N164" s="248"/>
      <c r="O164" s="248"/>
      <c r="P164" s="248"/>
      <c r="Q164" s="248"/>
      <c r="R164" s="248"/>
      <c r="S164" s="248"/>
      <c r="T164" s="248"/>
      <c r="U164" s="248"/>
      <c r="V164" s="248"/>
      <c r="W164" s="6"/>
      <c r="X164" s="6"/>
      <c r="Y164" s="6"/>
      <c r="Z164" s="6"/>
      <c r="AA164" s="6"/>
      <c r="AB164" s="6"/>
      <c r="AC164" s="6"/>
      <c r="AD164" s="6"/>
      <c r="AE164" s="6"/>
      <c r="AF164" s="6"/>
      <c r="AG164" s="6"/>
      <c r="AH164" s="6"/>
      <c r="AI164" s="62"/>
      <c r="AJ164" s="62"/>
      <c r="AK164" s="62">
        <v>12353.54</v>
      </c>
      <c r="AL164" s="62">
        <v>1749.36</v>
      </c>
      <c r="AM164" s="62">
        <v>1491.04</v>
      </c>
      <c r="AN164" s="62">
        <v>3919.05</v>
      </c>
      <c r="AO164" s="248"/>
      <c r="AP164" s="248"/>
      <c r="AQ164" s="248"/>
      <c r="AR164" s="248"/>
      <c r="AS164" s="248"/>
      <c r="AT164" s="248"/>
      <c r="AU164" s="248"/>
      <c r="AV164" s="248"/>
      <c r="AW164" s="248"/>
      <c r="AX164" s="277"/>
      <c r="AY164" s="196"/>
    </row>
    <row r="165" spans="1:51" s="180" customFormat="1" x14ac:dyDescent="0.25">
      <c r="A165" s="83" t="s">
        <v>584</v>
      </c>
      <c r="C165" s="229" t="s">
        <v>230</v>
      </c>
      <c r="D165" s="248"/>
      <c r="E165" s="248"/>
      <c r="F165" s="248"/>
      <c r="G165" s="248"/>
      <c r="H165" s="248"/>
      <c r="I165" s="248"/>
      <c r="J165" s="248"/>
      <c r="K165" s="248"/>
      <c r="L165" s="248"/>
      <c r="M165" s="248"/>
      <c r="N165" s="248"/>
      <c r="O165" s="248"/>
      <c r="P165" s="248"/>
      <c r="Q165" s="248"/>
      <c r="R165" s="248"/>
      <c r="S165" s="248"/>
      <c r="T165" s="248"/>
      <c r="U165" s="248"/>
      <c r="V165" s="248"/>
      <c r="W165" s="6"/>
      <c r="X165" s="6"/>
      <c r="Y165" s="6"/>
      <c r="Z165" s="6"/>
      <c r="AA165" s="6"/>
      <c r="AB165" s="6"/>
      <c r="AC165" s="6"/>
      <c r="AD165" s="6"/>
      <c r="AE165" s="6"/>
      <c r="AF165" s="6"/>
      <c r="AG165" s="6"/>
      <c r="AH165" s="6"/>
      <c r="AI165" s="62"/>
      <c r="AJ165" s="62"/>
      <c r="AK165" s="62">
        <v>3367.16</v>
      </c>
      <c r="AL165" s="62">
        <v>665.34</v>
      </c>
      <c r="AM165" s="62">
        <v>665.34</v>
      </c>
      <c r="AN165" s="62">
        <v>665.34</v>
      </c>
      <c r="AO165" s="248"/>
      <c r="AP165" s="248"/>
      <c r="AQ165" s="248"/>
      <c r="AR165" s="248"/>
      <c r="AS165" s="248"/>
      <c r="AT165" s="248"/>
      <c r="AU165" s="248"/>
      <c r="AV165" s="248"/>
      <c r="AW165" s="248"/>
      <c r="AX165" s="277"/>
      <c r="AY165" s="196"/>
    </row>
    <row r="166" spans="1:51" s="180" customFormat="1" x14ac:dyDescent="0.25">
      <c r="A166" s="83" t="s">
        <v>589</v>
      </c>
      <c r="C166" s="229" t="s">
        <v>230</v>
      </c>
      <c r="D166" s="248"/>
      <c r="E166" s="248"/>
      <c r="F166" s="248"/>
      <c r="G166" s="248"/>
      <c r="H166" s="248"/>
      <c r="I166" s="248"/>
      <c r="J166" s="248"/>
      <c r="K166" s="248"/>
      <c r="L166" s="248"/>
      <c r="M166" s="248"/>
      <c r="N166" s="248"/>
      <c r="O166" s="248"/>
      <c r="P166" s="248"/>
      <c r="Q166" s="248"/>
      <c r="R166" s="248"/>
      <c r="S166" s="248"/>
      <c r="T166" s="248"/>
      <c r="U166" s="248"/>
      <c r="V166" s="248"/>
      <c r="W166" s="6"/>
      <c r="X166" s="6"/>
      <c r="Y166" s="6"/>
      <c r="Z166" s="6"/>
      <c r="AA166" s="6"/>
      <c r="AB166" s="6"/>
      <c r="AC166" s="6"/>
      <c r="AD166" s="6"/>
      <c r="AE166" s="6"/>
      <c r="AF166" s="6"/>
      <c r="AG166" s="6"/>
      <c r="AH166" s="6"/>
      <c r="AI166" s="62"/>
      <c r="AJ166" s="62"/>
      <c r="AK166" s="62"/>
      <c r="AL166" s="62">
        <v>41165.15</v>
      </c>
      <c r="AM166" s="62">
        <v>41165.15</v>
      </c>
      <c r="AN166" s="62">
        <v>41762.33</v>
      </c>
      <c r="AO166" s="248"/>
      <c r="AP166" s="248"/>
      <c r="AQ166" s="248"/>
      <c r="AR166" s="248"/>
      <c r="AS166" s="248"/>
      <c r="AT166" s="248"/>
      <c r="AU166" s="248"/>
      <c r="AV166" s="248"/>
      <c r="AW166" s="248"/>
      <c r="AX166" s="277"/>
      <c r="AY166" s="196"/>
    </row>
    <row r="167" spans="1:51" x14ac:dyDescent="0.25">
      <c r="A167" s="83" t="s">
        <v>226</v>
      </c>
      <c r="B167" s="1"/>
      <c r="C167" s="229" t="s">
        <v>230</v>
      </c>
      <c r="D167" s="248"/>
      <c r="E167" s="248"/>
      <c r="F167" s="248"/>
      <c r="G167" s="248"/>
      <c r="H167" s="248"/>
      <c r="I167" s="248"/>
      <c r="J167" s="248"/>
      <c r="K167" s="248"/>
      <c r="L167" s="248"/>
      <c r="M167" s="248"/>
      <c r="N167" s="248"/>
      <c r="O167" s="248"/>
      <c r="P167" s="248"/>
      <c r="Q167" s="248"/>
      <c r="R167" s="248"/>
      <c r="S167" s="248"/>
      <c r="T167" s="248"/>
      <c r="U167" s="248"/>
      <c r="V167" s="248"/>
      <c r="AD167" s="6">
        <v>29408.080000000002</v>
      </c>
      <c r="AE167" s="6">
        <v>28465.599999999999</v>
      </c>
      <c r="AF167" s="6">
        <v>56965.599999999999</v>
      </c>
      <c r="AG167" s="6">
        <v>28465.599999999999</v>
      </c>
      <c r="AH167" s="6">
        <v>28465.599999999999</v>
      </c>
      <c r="AI167" s="62">
        <v>44814.77</v>
      </c>
      <c r="AJ167" s="62">
        <v>2.02</v>
      </c>
      <c r="AK167" s="62"/>
      <c r="AL167" s="62"/>
      <c r="AM167" s="62"/>
      <c r="AN167" s="62"/>
      <c r="AO167" s="248"/>
      <c r="AP167" s="248"/>
      <c r="AQ167" s="248"/>
      <c r="AR167" s="248"/>
      <c r="AS167" s="248"/>
      <c r="AT167" s="248"/>
      <c r="AU167" s="248"/>
      <c r="AV167" s="248"/>
      <c r="AW167" s="248"/>
      <c r="AX167" s="277"/>
      <c r="AY167" s="196"/>
    </row>
    <row r="168" spans="1:51" s="180" customFormat="1" x14ac:dyDescent="0.25">
      <c r="A168" s="83" t="s">
        <v>585</v>
      </c>
      <c r="C168" s="229" t="s">
        <v>230</v>
      </c>
      <c r="D168" s="248"/>
      <c r="E168" s="248"/>
      <c r="F168" s="248"/>
      <c r="G168" s="248"/>
      <c r="H168" s="248"/>
      <c r="I168" s="248"/>
      <c r="J168" s="248"/>
      <c r="K168" s="248"/>
      <c r="L168" s="248"/>
      <c r="M168" s="248"/>
      <c r="N168" s="248"/>
      <c r="O168" s="248"/>
      <c r="P168" s="248"/>
      <c r="Q168" s="248"/>
      <c r="R168" s="248"/>
      <c r="S168" s="248"/>
      <c r="T168" s="248"/>
      <c r="U168" s="248"/>
      <c r="V168" s="248"/>
      <c r="W168" s="6"/>
      <c r="X168" s="6"/>
      <c r="Y168" s="6"/>
      <c r="Z168" s="6"/>
      <c r="AA168" s="6"/>
      <c r="AB168" s="6"/>
      <c r="AC168" s="6"/>
      <c r="AD168" s="6"/>
      <c r="AE168" s="6"/>
      <c r="AF168" s="6"/>
      <c r="AG168" s="6"/>
      <c r="AH168" s="6"/>
      <c r="AI168" s="62"/>
      <c r="AJ168" s="62"/>
      <c r="AK168" s="62">
        <v>7227.85</v>
      </c>
      <c r="AL168" s="62"/>
      <c r="AM168" s="62"/>
      <c r="AN168" s="62"/>
      <c r="AO168" s="248"/>
      <c r="AP168" s="248"/>
      <c r="AQ168" s="248"/>
      <c r="AR168" s="248"/>
      <c r="AS168" s="248"/>
      <c r="AT168" s="248"/>
      <c r="AU168" s="248"/>
      <c r="AV168" s="248"/>
      <c r="AW168" s="248"/>
      <c r="AX168" s="277"/>
      <c r="AY168" s="196"/>
    </row>
    <row r="169" spans="1:51" s="180" customFormat="1" x14ac:dyDescent="0.25">
      <c r="A169" s="83" t="s">
        <v>586</v>
      </c>
      <c r="C169" s="229" t="s">
        <v>230</v>
      </c>
      <c r="D169" s="248"/>
      <c r="E169" s="248"/>
      <c r="F169" s="248"/>
      <c r="G169" s="248"/>
      <c r="H169" s="248"/>
      <c r="I169" s="248"/>
      <c r="J169" s="248"/>
      <c r="K169" s="248"/>
      <c r="L169" s="248"/>
      <c r="M169" s="248"/>
      <c r="N169" s="248"/>
      <c r="O169" s="248"/>
      <c r="P169" s="248"/>
      <c r="Q169" s="248"/>
      <c r="R169" s="248"/>
      <c r="S169" s="248"/>
      <c r="T169" s="248"/>
      <c r="U169" s="248"/>
      <c r="V169" s="248"/>
      <c r="W169" s="6"/>
      <c r="X169" s="6"/>
      <c r="Y169" s="6"/>
      <c r="Z169" s="6"/>
      <c r="AA169" s="6"/>
      <c r="AB169" s="6"/>
      <c r="AC169" s="6"/>
      <c r="AD169" s="6"/>
      <c r="AE169" s="6"/>
      <c r="AF169" s="6"/>
      <c r="AG169" s="6"/>
      <c r="AH169" s="6"/>
      <c r="AI169" s="62"/>
      <c r="AJ169" s="62"/>
      <c r="AK169" s="62">
        <v>73000</v>
      </c>
      <c r="AL169" s="62"/>
      <c r="AM169" s="62"/>
      <c r="AN169" s="62"/>
      <c r="AO169" s="248"/>
      <c r="AP169" s="248"/>
      <c r="AQ169" s="248"/>
      <c r="AR169" s="248"/>
      <c r="AS169" s="248"/>
      <c r="AT169" s="248"/>
      <c r="AU169" s="248"/>
      <c r="AV169" s="248"/>
      <c r="AW169" s="248"/>
      <c r="AX169" s="277"/>
      <c r="AY169" s="196"/>
    </row>
    <row r="170" spans="1:51" s="180" customFormat="1" x14ac:dyDescent="0.25">
      <c r="A170" s="83" t="s">
        <v>571</v>
      </c>
      <c r="C170" s="229" t="s">
        <v>230</v>
      </c>
      <c r="D170" s="248"/>
      <c r="E170" s="248"/>
      <c r="F170" s="248"/>
      <c r="G170" s="248"/>
      <c r="H170" s="248"/>
      <c r="I170" s="248"/>
      <c r="J170" s="248"/>
      <c r="K170" s="248"/>
      <c r="L170" s="248"/>
      <c r="M170" s="248"/>
      <c r="N170" s="248"/>
      <c r="O170" s="248"/>
      <c r="P170" s="248"/>
      <c r="Q170" s="248"/>
      <c r="R170" s="248"/>
      <c r="S170" s="248"/>
      <c r="T170" s="248"/>
      <c r="U170" s="248"/>
      <c r="V170" s="248"/>
      <c r="W170" s="6"/>
      <c r="X170" s="6"/>
      <c r="Y170" s="6"/>
      <c r="Z170" s="6"/>
      <c r="AA170" s="6"/>
      <c r="AB170" s="6"/>
      <c r="AC170" s="6"/>
      <c r="AD170" s="6"/>
      <c r="AE170" s="6"/>
      <c r="AF170" s="6"/>
      <c r="AG170" s="6"/>
      <c r="AH170" s="6"/>
      <c r="AI170" s="62">
        <v>193.4</v>
      </c>
      <c r="AJ170" s="62">
        <v>10656.82</v>
      </c>
      <c r="AK170" s="62"/>
      <c r="AL170" s="62"/>
      <c r="AM170" s="62"/>
      <c r="AN170" s="62"/>
      <c r="AO170" s="248"/>
      <c r="AP170" s="248"/>
      <c r="AQ170" s="248"/>
      <c r="AR170" s="248"/>
      <c r="AS170" s="248"/>
      <c r="AT170" s="248"/>
      <c r="AU170" s="248"/>
      <c r="AV170" s="248"/>
      <c r="AW170" s="248"/>
      <c r="AX170" s="277"/>
      <c r="AY170" s="196"/>
    </row>
    <row r="171" spans="1:51" s="180" customFormat="1" x14ac:dyDescent="0.25">
      <c r="A171" s="83" t="s">
        <v>592</v>
      </c>
      <c r="C171" s="229" t="s">
        <v>230</v>
      </c>
      <c r="D171" s="248"/>
      <c r="E171" s="248"/>
      <c r="F171" s="248"/>
      <c r="G171" s="248"/>
      <c r="H171" s="248"/>
      <c r="I171" s="248"/>
      <c r="J171" s="248"/>
      <c r="K171" s="248"/>
      <c r="L171" s="248"/>
      <c r="M171" s="248"/>
      <c r="N171" s="248"/>
      <c r="O171" s="248"/>
      <c r="P171" s="248"/>
      <c r="Q171" s="248"/>
      <c r="R171" s="248"/>
      <c r="S171" s="248"/>
      <c r="T171" s="248"/>
      <c r="U171" s="248"/>
      <c r="V171" s="248"/>
      <c r="W171" s="6"/>
      <c r="X171" s="6"/>
      <c r="Y171" s="6"/>
      <c r="Z171" s="6"/>
      <c r="AA171" s="6"/>
      <c r="AB171" s="6"/>
      <c r="AC171" s="6"/>
      <c r="AD171" s="6"/>
      <c r="AE171" s="6"/>
      <c r="AF171" s="6"/>
      <c r="AG171" s="6"/>
      <c r="AH171" s="6"/>
      <c r="AI171" s="62"/>
      <c r="AJ171" s="62"/>
      <c r="AK171" s="62"/>
      <c r="AL171" s="62">
        <v>161.6</v>
      </c>
      <c r="AM171" s="62">
        <v>161.6</v>
      </c>
      <c r="AN171" s="62"/>
      <c r="AO171" s="248"/>
      <c r="AP171" s="248"/>
      <c r="AQ171" s="248"/>
      <c r="AR171" s="248"/>
      <c r="AS171" s="248"/>
      <c r="AT171" s="248"/>
      <c r="AU171" s="248"/>
      <c r="AV171" s="248"/>
      <c r="AW171" s="248"/>
      <c r="AX171" s="277"/>
      <c r="AY171" s="196"/>
    </row>
    <row r="172" spans="1:51" s="180" customFormat="1" x14ac:dyDescent="0.25">
      <c r="A172" s="83" t="s">
        <v>582</v>
      </c>
      <c r="C172" s="229" t="s">
        <v>230</v>
      </c>
      <c r="D172" s="248"/>
      <c r="E172" s="248"/>
      <c r="F172" s="248"/>
      <c r="G172" s="248"/>
      <c r="H172" s="248"/>
      <c r="I172" s="248"/>
      <c r="J172" s="248"/>
      <c r="K172" s="248"/>
      <c r="L172" s="248"/>
      <c r="M172" s="248"/>
      <c r="N172" s="248"/>
      <c r="O172" s="248"/>
      <c r="P172" s="248"/>
      <c r="Q172" s="248"/>
      <c r="R172" s="248"/>
      <c r="S172" s="248"/>
      <c r="T172" s="248"/>
      <c r="U172" s="248"/>
      <c r="V172" s="248"/>
      <c r="W172" s="6"/>
      <c r="X172" s="6"/>
      <c r="Y172" s="6"/>
      <c r="Z172" s="6"/>
      <c r="AA172" s="6"/>
      <c r="AB172" s="6"/>
      <c r="AC172" s="6"/>
      <c r="AD172" s="6"/>
      <c r="AE172" s="6"/>
      <c r="AF172" s="6"/>
      <c r="AG172" s="6"/>
      <c r="AH172" s="6"/>
      <c r="AI172" s="62"/>
      <c r="AJ172" s="62">
        <v>19852.5</v>
      </c>
      <c r="AK172" s="62">
        <v>17410</v>
      </c>
      <c r="AL172" s="62">
        <v>17128</v>
      </c>
      <c r="AM172" s="62">
        <v>17036.5</v>
      </c>
      <c r="AN172" s="62"/>
      <c r="AO172" s="248"/>
      <c r="AP172" s="248"/>
      <c r="AQ172" s="248"/>
      <c r="AR172" s="248"/>
      <c r="AS172" s="248"/>
      <c r="AT172" s="248"/>
      <c r="AU172" s="248"/>
      <c r="AV172" s="248"/>
      <c r="AW172" s="248"/>
      <c r="AX172" s="277"/>
      <c r="AY172" s="196"/>
    </row>
    <row r="173" spans="1:51" s="180" customFormat="1" x14ac:dyDescent="0.25">
      <c r="A173" s="83" t="s">
        <v>577</v>
      </c>
      <c r="C173" s="229" t="s">
        <v>230</v>
      </c>
      <c r="D173" s="248"/>
      <c r="E173" s="248"/>
      <c r="F173" s="248"/>
      <c r="G173" s="248"/>
      <c r="H173" s="248"/>
      <c r="I173" s="248"/>
      <c r="J173" s="248"/>
      <c r="K173" s="248"/>
      <c r="L173" s="248"/>
      <c r="M173" s="248"/>
      <c r="N173" s="248"/>
      <c r="O173" s="248"/>
      <c r="P173" s="248"/>
      <c r="Q173" s="248"/>
      <c r="R173" s="248"/>
      <c r="S173" s="248"/>
      <c r="T173" s="248"/>
      <c r="U173" s="248"/>
      <c r="V173" s="248"/>
      <c r="W173" s="6"/>
      <c r="X173" s="6"/>
      <c r="Y173" s="6"/>
      <c r="Z173" s="6"/>
      <c r="AA173" s="6"/>
      <c r="AB173" s="6"/>
      <c r="AC173" s="6"/>
      <c r="AD173" s="6"/>
      <c r="AE173" s="6"/>
      <c r="AF173" s="6"/>
      <c r="AG173" s="6"/>
      <c r="AH173" s="6"/>
      <c r="AI173" s="62"/>
      <c r="AJ173" s="62">
        <v>250</v>
      </c>
      <c r="AK173" s="62"/>
      <c r="AL173" s="62"/>
      <c r="AM173" s="62"/>
      <c r="AN173" s="62"/>
      <c r="AO173" s="248"/>
      <c r="AP173" s="248"/>
      <c r="AQ173" s="248"/>
      <c r="AR173" s="248"/>
      <c r="AS173" s="248"/>
      <c r="AT173" s="248"/>
      <c r="AU173" s="248"/>
      <c r="AV173" s="248"/>
      <c r="AW173" s="248"/>
      <c r="AX173" s="277"/>
      <c r="AY173" s="196"/>
    </row>
    <row r="174" spans="1:51" s="180" customFormat="1" x14ac:dyDescent="0.25">
      <c r="A174" s="83" t="s">
        <v>578</v>
      </c>
      <c r="C174" s="229" t="s">
        <v>230</v>
      </c>
      <c r="D174" s="248"/>
      <c r="E174" s="248"/>
      <c r="F174" s="248"/>
      <c r="G174" s="248"/>
      <c r="H174" s="248"/>
      <c r="I174" s="248"/>
      <c r="J174" s="248"/>
      <c r="K174" s="248"/>
      <c r="L174" s="248"/>
      <c r="M174" s="248"/>
      <c r="N174" s="248"/>
      <c r="O174" s="248"/>
      <c r="P174" s="248"/>
      <c r="Q174" s="248"/>
      <c r="R174" s="248"/>
      <c r="S174" s="248"/>
      <c r="T174" s="248"/>
      <c r="U174" s="248"/>
      <c r="V174" s="248"/>
      <c r="W174" s="6"/>
      <c r="X174" s="6"/>
      <c r="Y174" s="6"/>
      <c r="Z174" s="6"/>
      <c r="AA174" s="6"/>
      <c r="AB174" s="6"/>
      <c r="AC174" s="6"/>
      <c r="AD174" s="6"/>
      <c r="AE174" s="6"/>
      <c r="AF174" s="6"/>
      <c r="AG174" s="6"/>
      <c r="AH174" s="6"/>
      <c r="AI174" s="62"/>
      <c r="AJ174" s="62">
        <v>18.690000000000001</v>
      </c>
      <c r="AK174" s="62">
        <v>18.690000000000001</v>
      </c>
      <c r="AL174" s="62">
        <v>18.690000000000001</v>
      </c>
      <c r="AM174" s="62">
        <v>18.690000000000001</v>
      </c>
      <c r="AN174" s="62">
        <v>18.690000000000001</v>
      </c>
      <c r="AO174" s="248"/>
      <c r="AP174" s="248"/>
      <c r="AQ174" s="248"/>
      <c r="AR174" s="248"/>
      <c r="AS174" s="248"/>
      <c r="AT174" s="248"/>
      <c r="AU174" s="248"/>
      <c r="AV174" s="248"/>
      <c r="AW174" s="248"/>
      <c r="AX174" s="277"/>
      <c r="AY174" s="196"/>
    </row>
    <row r="175" spans="1:51" s="180" customFormat="1" x14ac:dyDescent="0.25">
      <c r="A175" s="83" t="s">
        <v>601</v>
      </c>
      <c r="C175" s="229" t="s">
        <v>230</v>
      </c>
      <c r="D175" s="248"/>
      <c r="E175" s="248"/>
      <c r="F175" s="248"/>
      <c r="G175" s="248"/>
      <c r="H175" s="248"/>
      <c r="I175" s="248"/>
      <c r="J175" s="248"/>
      <c r="K175" s="248"/>
      <c r="L175" s="248"/>
      <c r="M175" s="248"/>
      <c r="N175" s="248"/>
      <c r="O175" s="248"/>
      <c r="P175" s="248"/>
      <c r="Q175" s="248"/>
      <c r="R175" s="248"/>
      <c r="S175" s="248"/>
      <c r="T175" s="248"/>
      <c r="U175" s="248"/>
      <c r="V175" s="248"/>
      <c r="W175" s="6"/>
      <c r="X175" s="6"/>
      <c r="Y175" s="6"/>
      <c r="Z175" s="6"/>
      <c r="AA175" s="6"/>
      <c r="AB175" s="6"/>
      <c r="AC175" s="6"/>
      <c r="AD175" s="6"/>
      <c r="AE175" s="6"/>
      <c r="AF175" s="6"/>
      <c r="AG175" s="6"/>
      <c r="AH175" s="6"/>
      <c r="AI175" s="62"/>
      <c r="AJ175" s="62">
        <v>1149.75</v>
      </c>
      <c r="AK175" s="62">
        <v>1149.75</v>
      </c>
      <c r="AL175" s="62">
        <v>260</v>
      </c>
      <c r="AM175" s="62">
        <v>839.09</v>
      </c>
      <c r="AN175" s="62">
        <v>854.09</v>
      </c>
      <c r="AO175" s="248"/>
      <c r="AP175" s="248"/>
      <c r="AQ175" s="248"/>
      <c r="AR175" s="248"/>
      <c r="AS175" s="248"/>
      <c r="AT175" s="248"/>
      <c r="AU175" s="248"/>
      <c r="AV175" s="248"/>
      <c r="AW175" s="248"/>
      <c r="AX175" s="277"/>
      <c r="AY175" s="196"/>
    </row>
    <row r="176" spans="1:51" s="180" customFormat="1" x14ac:dyDescent="0.25">
      <c r="A176" s="83" t="s">
        <v>587</v>
      </c>
      <c r="C176" s="229" t="s">
        <v>230</v>
      </c>
      <c r="D176" s="248"/>
      <c r="E176" s="248"/>
      <c r="F176" s="248"/>
      <c r="G176" s="248"/>
      <c r="H176" s="248"/>
      <c r="I176" s="248"/>
      <c r="J176" s="248"/>
      <c r="K176" s="248"/>
      <c r="L176" s="248"/>
      <c r="M176" s="248"/>
      <c r="N176" s="248"/>
      <c r="O176" s="248"/>
      <c r="P176" s="248"/>
      <c r="Q176" s="248"/>
      <c r="R176" s="248"/>
      <c r="S176" s="248"/>
      <c r="T176" s="248"/>
      <c r="U176" s="248"/>
      <c r="V176" s="248"/>
      <c r="W176" s="6"/>
      <c r="X176" s="6"/>
      <c r="Y176" s="6"/>
      <c r="Z176" s="6"/>
      <c r="AA176" s="6"/>
      <c r="AB176" s="6"/>
      <c r="AC176" s="6"/>
      <c r="AD176" s="6"/>
      <c r="AE176" s="6"/>
      <c r="AF176" s="6"/>
      <c r="AG176" s="6"/>
      <c r="AH176" s="6"/>
      <c r="AI176" s="62"/>
      <c r="AJ176" s="62"/>
      <c r="AK176" s="62">
        <v>348.6</v>
      </c>
      <c r="AL176" s="62">
        <v>211.18</v>
      </c>
      <c r="AM176" s="62">
        <v>329.18</v>
      </c>
      <c r="AN176" s="62">
        <v>701.89</v>
      </c>
      <c r="AO176" s="248"/>
      <c r="AP176" s="248"/>
      <c r="AQ176" s="248"/>
      <c r="AR176" s="248"/>
      <c r="AS176" s="248"/>
      <c r="AT176" s="248"/>
      <c r="AU176" s="248"/>
      <c r="AV176" s="248"/>
      <c r="AW176" s="248"/>
      <c r="AX176" s="277"/>
      <c r="AY176" s="196"/>
    </row>
    <row r="177" spans="1:51" s="180" customFormat="1" x14ac:dyDescent="0.25">
      <c r="A177" s="83" t="s">
        <v>588</v>
      </c>
      <c r="C177" s="229" t="s">
        <v>230</v>
      </c>
      <c r="D177" s="248"/>
      <c r="E177" s="248"/>
      <c r="F177" s="248"/>
      <c r="G177" s="248"/>
      <c r="H177" s="248"/>
      <c r="I177" s="248"/>
      <c r="J177" s="248"/>
      <c r="K177" s="248"/>
      <c r="L177" s="248"/>
      <c r="M177" s="248"/>
      <c r="N177" s="248"/>
      <c r="O177" s="248"/>
      <c r="P177" s="248"/>
      <c r="Q177" s="248"/>
      <c r="R177" s="248"/>
      <c r="S177" s="248"/>
      <c r="T177" s="248"/>
      <c r="U177" s="248"/>
      <c r="V177" s="248"/>
      <c r="W177" s="6"/>
      <c r="X177" s="6"/>
      <c r="Y177" s="6"/>
      <c r="Z177" s="6"/>
      <c r="AA177" s="6"/>
      <c r="AB177" s="6"/>
      <c r="AC177" s="6"/>
      <c r="AD177" s="6"/>
      <c r="AE177" s="6"/>
      <c r="AF177" s="6"/>
      <c r="AG177" s="6"/>
      <c r="AH177" s="6"/>
      <c r="AI177" s="62"/>
      <c r="AJ177" s="62"/>
      <c r="AK177" s="62"/>
      <c r="AL177" s="62">
        <v>27440</v>
      </c>
      <c r="AM177" s="62">
        <v>27115.91</v>
      </c>
      <c r="AN177" s="62">
        <v>26610.2</v>
      </c>
      <c r="AO177" s="248"/>
      <c r="AP177" s="248"/>
      <c r="AQ177" s="248"/>
      <c r="AR177" s="248"/>
      <c r="AS177" s="248"/>
      <c r="AT177" s="248"/>
      <c r="AU177" s="248"/>
      <c r="AV177" s="248"/>
      <c r="AW177" s="248"/>
      <c r="AX177" s="277"/>
      <c r="AY177" s="196"/>
    </row>
    <row r="178" spans="1:51" s="180" customFormat="1" x14ac:dyDescent="0.25">
      <c r="A178" s="83" t="s">
        <v>579</v>
      </c>
      <c r="C178" s="229" t="s">
        <v>230</v>
      </c>
      <c r="D178" s="248"/>
      <c r="E178" s="248"/>
      <c r="F178" s="248"/>
      <c r="G178" s="248"/>
      <c r="H178" s="248"/>
      <c r="I178" s="248"/>
      <c r="J178" s="248"/>
      <c r="K178" s="248"/>
      <c r="L178" s="248"/>
      <c r="M178" s="248"/>
      <c r="N178" s="248"/>
      <c r="O178" s="248"/>
      <c r="P178" s="248"/>
      <c r="Q178" s="248"/>
      <c r="R178" s="248"/>
      <c r="S178" s="248"/>
      <c r="T178" s="248"/>
      <c r="U178" s="248"/>
      <c r="V178" s="248"/>
      <c r="W178" s="6"/>
      <c r="X178" s="6"/>
      <c r="Y178" s="6"/>
      <c r="Z178" s="6"/>
      <c r="AA178" s="6"/>
      <c r="AB178" s="6"/>
      <c r="AC178" s="6"/>
      <c r="AD178" s="6"/>
      <c r="AE178" s="6"/>
      <c r="AF178" s="6"/>
      <c r="AG178" s="6"/>
      <c r="AH178" s="6"/>
      <c r="AI178" s="62"/>
      <c r="AJ178" s="62">
        <v>1129.8</v>
      </c>
      <c r="AK178" s="62">
        <v>1129.8</v>
      </c>
      <c r="AL178" s="62">
        <v>1443</v>
      </c>
      <c r="AM178" s="62">
        <v>1443</v>
      </c>
      <c r="AN178" s="62"/>
      <c r="AO178" s="248"/>
      <c r="AP178" s="248"/>
      <c r="AQ178" s="248"/>
      <c r="AR178" s="248"/>
      <c r="AS178" s="248"/>
      <c r="AT178" s="248"/>
      <c r="AU178" s="248"/>
      <c r="AV178" s="248"/>
      <c r="AW178" s="248"/>
      <c r="AX178" s="277"/>
      <c r="AY178" s="196"/>
    </row>
    <row r="179" spans="1:51" s="180" customFormat="1" x14ac:dyDescent="0.25">
      <c r="A179" s="83" t="s">
        <v>580</v>
      </c>
      <c r="C179" s="229" t="s">
        <v>230</v>
      </c>
      <c r="D179" s="248"/>
      <c r="E179" s="248"/>
      <c r="F179" s="248"/>
      <c r="G179" s="248"/>
      <c r="H179" s="248"/>
      <c r="I179" s="248"/>
      <c r="J179" s="248"/>
      <c r="K179" s="248"/>
      <c r="L179" s="248"/>
      <c r="M179" s="248"/>
      <c r="N179" s="248"/>
      <c r="O179" s="248"/>
      <c r="P179" s="248"/>
      <c r="Q179" s="248"/>
      <c r="R179" s="248"/>
      <c r="S179" s="248"/>
      <c r="T179" s="248"/>
      <c r="U179" s="248"/>
      <c r="V179" s="248"/>
      <c r="W179" s="6"/>
      <c r="X179" s="6"/>
      <c r="Y179" s="6"/>
      <c r="Z179" s="6"/>
      <c r="AA179" s="6"/>
      <c r="AB179" s="6"/>
      <c r="AC179" s="6"/>
      <c r="AD179" s="6"/>
      <c r="AE179" s="6"/>
      <c r="AF179" s="6"/>
      <c r="AG179" s="6"/>
      <c r="AH179" s="6"/>
      <c r="AI179" s="62"/>
      <c r="AJ179" s="62">
        <v>5.5</v>
      </c>
      <c r="AK179" s="62">
        <v>5.5</v>
      </c>
      <c r="AL179" s="62">
        <v>5.5</v>
      </c>
      <c r="AM179" s="62">
        <v>5.5</v>
      </c>
      <c r="AN179" s="62">
        <v>5.5</v>
      </c>
      <c r="AO179" s="248"/>
      <c r="AP179" s="248"/>
      <c r="AQ179" s="248"/>
      <c r="AR179" s="248"/>
      <c r="AS179" s="248"/>
      <c r="AT179" s="248"/>
      <c r="AU179" s="248"/>
      <c r="AV179" s="248"/>
      <c r="AW179" s="248"/>
      <c r="AX179" s="277"/>
      <c r="AY179" s="196"/>
    </row>
    <row r="180" spans="1:51" x14ac:dyDescent="0.25">
      <c r="A180" s="83" t="s">
        <v>222</v>
      </c>
      <c r="B180" s="1"/>
      <c r="C180" s="229" t="s">
        <v>230</v>
      </c>
      <c r="D180" s="248"/>
      <c r="E180" s="248"/>
      <c r="F180" s="248"/>
      <c r="G180" s="248"/>
      <c r="H180" s="248"/>
      <c r="I180" s="248"/>
      <c r="J180" s="248"/>
      <c r="K180" s="248"/>
      <c r="L180" s="248"/>
      <c r="M180" s="248"/>
      <c r="N180" s="248"/>
      <c r="O180" s="248"/>
      <c r="P180" s="248"/>
      <c r="Q180" s="248"/>
      <c r="R180" s="248"/>
      <c r="S180" s="248"/>
      <c r="T180" s="248"/>
      <c r="U180" s="248"/>
      <c r="V180" s="248"/>
      <c r="AC180" s="6">
        <v>1.2</v>
      </c>
      <c r="AI180" s="62"/>
      <c r="AJ180" s="62"/>
      <c r="AK180" s="62"/>
      <c r="AL180" s="62"/>
      <c r="AM180" s="62"/>
      <c r="AN180" s="62"/>
      <c r="AO180" s="248"/>
      <c r="AP180" s="248"/>
      <c r="AQ180" s="248"/>
      <c r="AR180" s="248"/>
      <c r="AS180" s="248"/>
      <c r="AT180" s="248"/>
      <c r="AU180" s="248"/>
      <c r="AV180" s="248"/>
      <c r="AW180" s="248"/>
      <c r="AX180" s="277"/>
      <c r="AY180" s="196"/>
    </row>
    <row r="181" spans="1:51" x14ac:dyDescent="0.25">
      <c r="A181" s="83" t="s">
        <v>219</v>
      </c>
      <c r="C181" s="229" t="s">
        <v>669</v>
      </c>
      <c r="D181" s="248"/>
      <c r="E181" s="248"/>
      <c r="F181" s="248"/>
      <c r="G181" s="248"/>
      <c r="H181" s="248"/>
      <c r="I181" s="248"/>
      <c r="J181" s="248"/>
      <c r="K181" s="248"/>
      <c r="L181" s="248"/>
      <c r="M181" s="248"/>
      <c r="N181" s="248"/>
      <c r="O181" s="248"/>
      <c r="P181" s="248"/>
      <c r="Q181" s="248"/>
      <c r="R181" s="248"/>
      <c r="S181" s="248"/>
      <c r="T181" s="248"/>
      <c r="U181" s="248"/>
      <c r="V181" s="248"/>
      <c r="W181" s="6">
        <v>1068736.18</v>
      </c>
      <c r="X181" s="6">
        <v>956082.01</v>
      </c>
      <c r="Y181" s="6">
        <v>397323.56</v>
      </c>
      <c r="Z181" s="6">
        <v>2773437.04</v>
      </c>
      <c r="AA181" s="6">
        <v>4728203.37</v>
      </c>
      <c r="AB181" s="6">
        <v>4141339.45</v>
      </c>
      <c r="AC181" s="6">
        <v>1653115.33</v>
      </c>
      <c r="AD181" s="6">
        <v>6437853.5999999996</v>
      </c>
      <c r="AE181" s="6">
        <v>8031926.9100000001</v>
      </c>
      <c r="AF181" s="6">
        <v>13531394.550000001</v>
      </c>
      <c r="AG181" s="6">
        <v>7096690.1600000001</v>
      </c>
      <c r="AH181" s="6">
        <v>4961647.41</v>
      </c>
      <c r="AI181" s="62">
        <v>1721003.46</v>
      </c>
      <c r="AJ181" s="62">
        <v>1179686.77</v>
      </c>
      <c r="AK181" s="62">
        <v>2010270.7</v>
      </c>
      <c r="AL181" s="62">
        <v>3573853.19</v>
      </c>
      <c r="AM181" s="62">
        <v>4275493.7699999996</v>
      </c>
      <c r="AN181" s="62">
        <v>2331584.84</v>
      </c>
      <c r="AO181" s="248"/>
      <c r="AP181" s="248"/>
      <c r="AQ181" s="248"/>
      <c r="AR181" s="248"/>
      <c r="AS181" s="248"/>
      <c r="AT181" s="248"/>
      <c r="AU181" s="248"/>
      <c r="AV181" s="248"/>
      <c r="AW181" s="248"/>
      <c r="AX181" s="277"/>
      <c r="AY181" s="196"/>
    </row>
    <row r="182" spans="1:51" x14ac:dyDescent="0.25">
      <c r="A182" s="83" t="s">
        <v>220</v>
      </c>
      <c r="C182" s="229" t="s">
        <v>229</v>
      </c>
      <c r="D182" s="248"/>
      <c r="E182" s="248"/>
      <c r="F182" s="248"/>
      <c r="G182" s="248"/>
      <c r="H182" s="248"/>
      <c r="I182" s="248"/>
      <c r="J182" s="248"/>
      <c r="K182" s="248"/>
      <c r="L182" s="248"/>
      <c r="M182" s="248"/>
      <c r="N182" s="248"/>
      <c r="O182" s="248"/>
      <c r="P182" s="248"/>
      <c r="Q182" s="248"/>
      <c r="R182" s="248"/>
      <c r="S182" s="248"/>
      <c r="T182" s="248"/>
      <c r="U182" s="248"/>
      <c r="V182" s="248"/>
      <c r="W182" s="6">
        <v>8520136.5999999996</v>
      </c>
      <c r="X182" s="6">
        <v>4075343.2</v>
      </c>
      <c r="Y182" s="6">
        <v>3556892.48</v>
      </c>
      <c r="Z182" s="6">
        <v>3630629.14</v>
      </c>
      <c r="AA182" s="6">
        <v>3409946.36</v>
      </c>
      <c r="AB182" s="6">
        <v>3607671.7</v>
      </c>
      <c r="AC182" s="6">
        <v>4508302.32</v>
      </c>
      <c r="AD182" s="6">
        <v>4032324.22</v>
      </c>
      <c r="AE182" s="6">
        <v>7784128.7400000002</v>
      </c>
      <c r="AF182" s="6">
        <v>3366656.9</v>
      </c>
      <c r="AG182" s="6">
        <v>3395957.4</v>
      </c>
      <c r="AH182" s="6">
        <v>3630711.3</v>
      </c>
      <c r="AI182" s="62">
        <v>5137425.84</v>
      </c>
      <c r="AJ182" s="62">
        <v>4860252.84</v>
      </c>
      <c r="AK182" s="62">
        <v>3736448.54</v>
      </c>
      <c r="AL182" s="62">
        <v>5492798.9400000004</v>
      </c>
      <c r="AM182" s="62">
        <v>1898815.02</v>
      </c>
      <c r="AN182" s="62">
        <v>6204307.7999999998</v>
      </c>
      <c r="AO182" s="248"/>
      <c r="AP182" s="248"/>
      <c r="AQ182" s="248"/>
      <c r="AR182" s="248"/>
      <c r="AS182" s="248"/>
      <c r="AT182" s="248"/>
      <c r="AU182" s="248"/>
      <c r="AV182" s="248"/>
      <c r="AW182" s="248"/>
      <c r="AX182" s="277"/>
      <c r="AY182" s="196"/>
    </row>
    <row r="183" spans="1:51" x14ac:dyDescent="0.25">
      <c r="A183" s="83" t="s">
        <v>221</v>
      </c>
      <c r="C183" s="229" t="s">
        <v>229</v>
      </c>
      <c r="D183" s="248"/>
      <c r="E183" s="248"/>
      <c r="F183" s="248"/>
      <c r="G183" s="248"/>
      <c r="H183" s="248"/>
      <c r="I183" s="248"/>
      <c r="J183" s="248"/>
      <c r="K183" s="248"/>
      <c r="L183" s="248"/>
      <c r="M183" s="248"/>
      <c r="N183" s="248"/>
      <c r="O183" s="248"/>
      <c r="P183" s="248"/>
      <c r="Q183" s="248"/>
      <c r="R183" s="248"/>
      <c r="S183" s="248"/>
      <c r="T183" s="248"/>
      <c r="U183" s="248"/>
      <c r="V183" s="248"/>
      <c r="W183" s="6">
        <v>4041955.44</v>
      </c>
      <c r="X183" s="6">
        <v>10193304.939999999</v>
      </c>
      <c r="Y183" s="6">
        <v>14081019.960000001</v>
      </c>
      <c r="Z183" s="6">
        <v>14692504.380000001</v>
      </c>
      <c r="AA183" s="6">
        <v>16060334.880000001</v>
      </c>
      <c r="AB183" s="6">
        <v>19711289.699999999</v>
      </c>
      <c r="AC183" s="6">
        <v>24649766.120000001</v>
      </c>
      <c r="AD183" s="6">
        <v>23772033</v>
      </c>
      <c r="AE183" s="6">
        <v>23124332.34</v>
      </c>
      <c r="AF183" s="6">
        <v>25662898.000000004</v>
      </c>
      <c r="AG183" s="6">
        <v>34131087.880000003</v>
      </c>
      <c r="AH183" s="6">
        <v>38034171.900000006</v>
      </c>
      <c r="AI183" s="62">
        <v>40949032.700000003</v>
      </c>
      <c r="AJ183" s="62">
        <v>37778265.579999998</v>
      </c>
      <c r="AK183" s="62">
        <v>39871184.359999999</v>
      </c>
      <c r="AL183" s="62">
        <v>38331222.640000001</v>
      </c>
      <c r="AM183" s="62">
        <v>42230841.32</v>
      </c>
      <c r="AN183" s="62">
        <v>42265757.060000002</v>
      </c>
      <c r="AO183" s="248"/>
      <c r="AP183" s="248"/>
      <c r="AQ183" s="248"/>
      <c r="AR183" s="248"/>
      <c r="AS183" s="248"/>
      <c r="AT183" s="248"/>
      <c r="AU183" s="248"/>
      <c r="AV183" s="248"/>
      <c r="AW183" s="248"/>
      <c r="AX183" s="277"/>
      <c r="AY183" s="196"/>
    </row>
    <row r="184" spans="1:51" x14ac:dyDescent="0.25">
      <c r="A184" s="83" t="s">
        <v>130</v>
      </c>
      <c r="B184" s="1"/>
      <c r="C184" s="229" t="s">
        <v>230</v>
      </c>
      <c r="D184" s="248"/>
      <c r="E184" s="248"/>
      <c r="F184" s="248"/>
      <c r="G184" s="248"/>
      <c r="H184" s="248"/>
      <c r="I184" s="248"/>
      <c r="J184" s="248"/>
      <c r="K184" s="248"/>
      <c r="L184" s="248"/>
      <c r="M184" s="248"/>
      <c r="N184" s="248"/>
      <c r="O184" s="248"/>
      <c r="P184" s="248"/>
      <c r="Q184" s="248"/>
      <c r="R184" s="248"/>
      <c r="S184" s="248"/>
      <c r="T184" s="248"/>
      <c r="U184" s="248"/>
      <c r="V184" s="248"/>
      <c r="W184" s="6">
        <v>-420700.94</v>
      </c>
      <c r="X184" s="6">
        <v>-1671.39</v>
      </c>
      <c r="Y184" s="6">
        <v>-37447.74</v>
      </c>
      <c r="Z184" s="6">
        <v>-29403.31</v>
      </c>
      <c r="AA184" s="6">
        <v>-39570.21</v>
      </c>
      <c r="AB184" s="6">
        <v>-108818.41</v>
      </c>
      <c r="AC184" s="6">
        <v>-11045.73</v>
      </c>
      <c r="AD184" s="6">
        <v>-53719.16</v>
      </c>
      <c r="AE184" s="6">
        <v>-3796.62</v>
      </c>
      <c r="AF184" s="6">
        <v>-16306.03</v>
      </c>
      <c r="AG184" s="6">
        <v>-7924.12</v>
      </c>
      <c r="AH184" s="6">
        <v>-2043.54</v>
      </c>
      <c r="AI184" s="62">
        <v>-24075.74</v>
      </c>
      <c r="AJ184" s="62">
        <v>-55012.43</v>
      </c>
      <c r="AK184" s="62">
        <v>-3601.43</v>
      </c>
      <c r="AL184" s="62">
        <v>-1718.01</v>
      </c>
      <c r="AM184" s="62">
        <v>-48058.28</v>
      </c>
      <c r="AN184" s="62">
        <v>-1481.93</v>
      </c>
      <c r="AO184" s="248"/>
      <c r="AP184" s="248"/>
      <c r="AQ184" s="248"/>
      <c r="AR184" s="248"/>
      <c r="AS184" s="248"/>
      <c r="AT184" s="248"/>
      <c r="AU184" s="248"/>
      <c r="AV184" s="248"/>
      <c r="AW184" s="248"/>
      <c r="AX184" s="277"/>
      <c r="AY184" s="196"/>
    </row>
    <row r="185" spans="1:51" s="192" customFormat="1" x14ac:dyDescent="0.25">
      <c r="A185" s="84" t="s">
        <v>581</v>
      </c>
      <c r="C185" s="229" t="s">
        <v>230</v>
      </c>
      <c r="D185" s="252"/>
      <c r="E185" s="252"/>
      <c r="F185" s="252"/>
      <c r="G185" s="252"/>
      <c r="H185" s="252"/>
      <c r="I185" s="252"/>
      <c r="J185" s="252"/>
      <c r="K185" s="252"/>
      <c r="L185" s="252"/>
      <c r="M185" s="252"/>
      <c r="N185" s="252"/>
      <c r="O185" s="252"/>
      <c r="P185" s="252"/>
      <c r="Q185" s="252"/>
      <c r="R185" s="252"/>
      <c r="S185" s="252"/>
      <c r="T185" s="252"/>
      <c r="U185" s="252"/>
      <c r="V185" s="252"/>
      <c r="W185" s="34"/>
      <c r="X185" s="34"/>
      <c r="Y185" s="34"/>
      <c r="Z185" s="34"/>
      <c r="AA185" s="34"/>
      <c r="AB185" s="34"/>
      <c r="AC185" s="34"/>
      <c r="AD185" s="34"/>
      <c r="AE185" s="34"/>
      <c r="AF185" s="34"/>
      <c r="AG185" s="34"/>
      <c r="AH185" s="34"/>
      <c r="AI185" s="218"/>
      <c r="AJ185" s="218">
        <v>-0.4</v>
      </c>
      <c r="AK185" s="218"/>
      <c r="AL185" s="218"/>
      <c r="AM185" s="218"/>
      <c r="AN185" s="218"/>
      <c r="AO185" s="252"/>
      <c r="AP185" s="252"/>
      <c r="AQ185" s="252"/>
      <c r="AR185" s="252"/>
      <c r="AS185" s="252"/>
      <c r="AT185" s="252"/>
      <c r="AU185" s="252"/>
      <c r="AV185" s="252"/>
      <c r="AW185" s="252"/>
      <c r="AX185" s="277"/>
      <c r="AY185" s="196"/>
    </row>
    <row r="186" spans="1:51" s="3" customFormat="1" x14ac:dyDescent="0.25">
      <c r="A186" s="59" t="s">
        <v>39</v>
      </c>
      <c r="B186" s="23"/>
      <c r="C186" s="229"/>
      <c r="D186" s="247"/>
      <c r="E186" s="247"/>
      <c r="F186" s="247"/>
      <c r="G186" s="247"/>
      <c r="H186" s="247"/>
      <c r="I186" s="247"/>
      <c r="J186" s="247"/>
      <c r="K186" s="247"/>
      <c r="L186" s="247"/>
      <c r="M186" s="247"/>
      <c r="N186" s="247"/>
      <c r="O186" s="247"/>
      <c r="P186" s="247"/>
      <c r="Q186" s="247"/>
      <c r="R186" s="247"/>
      <c r="S186" s="248"/>
      <c r="T186" s="248"/>
      <c r="U186" s="248"/>
      <c r="V186" s="248"/>
      <c r="W186" s="7">
        <v>13623304.82</v>
      </c>
      <c r="X186" s="7">
        <v>15649016.93</v>
      </c>
      <c r="Y186" s="7">
        <v>18478526.800000001</v>
      </c>
      <c r="Z186" s="7">
        <v>21711694.859999999</v>
      </c>
      <c r="AA186" s="7">
        <v>24845866.84</v>
      </c>
      <c r="AB186" s="7">
        <v>28314820.460000001</v>
      </c>
      <c r="AC186" s="7">
        <v>32014948.68</v>
      </c>
      <c r="AD186" s="7">
        <v>36072802.079999998</v>
      </c>
      <c r="AE186" s="7">
        <v>39798099.259999998</v>
      </c>
      <c r="AF186" s="7">
        <v>43341642.770000003</v>
      </c>
      <c r="AG186" s="7">
        <v>45151220.979999997</v>
      </c>
      <c r="AH186" s="7">
        <v>47046283.810000002</v>
      </c>
      <c r="AI186" s="254">
        <v>49056297.619999997</v>
      </c>
      <c r="AJ186" s="254">
        <v>44704760.109999999</v>
      </c>
      <c r="AK186" s="254">
        <v>46723534.210000001</v>
      </c>
      <c r="AL186" s="254">
        <v>48815853.969999999</v>
      </c>
      <c r="AM186" s="254">
        <v>49804425.770000003</v>
      </c>
      <c r="AN186" s="254">
        <v>50938806.200000003</v>
      </c>
      <c r="AO186" s="247"/>
      <c r="AP186" s="247"/>
      <c r="AQ186" s="247"/>
      <c r="AR186" s="247"/>
      <c r="AS186" s="247"/>
      <c r="AT186" s="247"/>
      <c r="AU186" s="247"/>
      <c r="AV186" s="247"/>
      <c r="AW186" s="247"/>
      <c r="AX186" s="279"/>
      <c r="AY186" s="197"/>
    </row>
    <row r="187" spans="1:51" x14ac:dyDescent="0.25">
      <c r="A187" s="83"/>
      <c r="C187" s="229"/>
      <c r="D187" s="248"/>
      <c r="E187" s="248"/>
      <c r="F187" s="248"/>
      <c r="G187" s="248"/>
      <c r="H187" s="248"/>
      <c r="I187" s="248"/>
      <c r="J187" s="248"/>
      <c r="K187" s="248"/>
      <c r="L187" s="248"/>
      <c r="M187" s="248"/>
      <c r="N187" s="248"/>
      <c r="O187" s="248"/>
      <c r="P187" s="248"/>
      <c r="Q187" s="248"/>
      <c r="R187" s="248"/>
      <c r="S187" s="248"/>
      <c r="T187" s="248"/>
      <c r="U187" s="248"/>
      <c r="V187" s="248"/>
      <c r="AI187" s="62"/>
      <c r="AJ187" s="62"/>
      <c r="AK187" s="62"/>
      <c r="AL187" s="62"/>
      <c r="AM187" s="62"/>
      <c r="AN187" s="62"/>
      <c r="AO187" s="248"/>
      <c r="AP187" s="248"/>
      <c r="AQ187" s="248"/>
      <c r="AR187" s="248"/>
      <c r="AS187" s="248"/>
      <c r="AT187" s="248"/>
      <c r="AU187" s="248"/>
      <c r="AV187" s="248"/>
      <c r="AW187" s="248"/>
      <c r="AX187" s="277"/>
      <c r="AY187" s="196"/>
    </row>
    <row r="188" spans="1:51" x14ac:dyDescent="0.25">
      <c r="A188" s="59" t="s">
        <v>40</v>
      </c>
      <c r="C188" s="229"/>
      <c r="D188" s="248"/>
      <c r="E188" s="248"/>
      <c r="F188" s="248"/>
      <c r="G188" s="248"/>
      <c r="H188" s="248"/>
      <c r="I188" s="248"/>
      <c r="J188" s="248"/>
      <c r="K188" s="248"/>
      <c r="L188" s="248"/>
      <c r="M188" s="248"/>
      <c r="N188" s="248"/>
      <c r="O188" s="248"/>
      <c r="P188" s="248"/>
      <c r="Q188" s="248"/>
      <c r="R188" s="248"/>
      <c r="S188" s="248"/>
      <c r="T188" s="248"/>
      <c r="U188" s="248"/>
      <c r="V188" s="248"/>
      <c r="AI188" s="62"/>
      <c r="AJ188" s="62"/>
      <c r="AK188" s="62"/>
      <c r="AL188" s="62"/>
      <c r="AM188" s="62"/>
      <c r="AN188" s="62"/>
      <c r="AO188" s="248"/>
      <c r="AP188" s="248"/>
      <c r="AQ188" s="248"/>
      <c r="AR188" s="248"/>
      <c r="AS188" s="248"/>
      <c r="AT188" s="248"/>
      <c r="AU188" s="248"/>
      <c r="AV188" s="248"/>
      <c r="AW188" s="248"/>
      <c r="AX188" s="277"/>
      <c r="AY188" s="196"/>
    </row>
    <row r="189" spans="1:51" x14ac:dyDescent="0.25">
      <c r="A189" s="83" t="s">
        <v>227</v>
      </c>
      <c r="C189" s="229" t="s">
        <v>249</v>
      </c>
      <c r="D189" s="248"/>
      <c r="E189" s="248"/>
      <c r="F189" s="248"/>
      <c r="G189" s="248"/>
      <c r="H189" s="248"/>
      <c r="I189" s="248"/>
      <c r="J189" s="248"/>
      <c r="K189" s="248"/>
      <c r="L189" s="248"/>
      <c r="M189" s="248"/>
      <c r="N189" s="248"/>
      <c r="O189" s="248"/>
      <c r="P189" s="248"/>
      <c r="Q189" s="248"/>
      <c r="R189" s="248"/>
      <c r="S189" s="248"/>
      <c r="T189" s="248"/>
      <c r="U189" s="248"/>
      <c r="V189" s="248"/>
      <c r="W189" s="6">
        <v>-400</v>
      </c>
      <c r="X189" s="6">
        <v>-0.19</v>
      </c>
      <c r="Y189" s="6">
        <v>-50842.82</v>
      </c>
      <c r="Z189" s="6">
        <v>-4872.2700000000004</v>
      </c>
      <c r="AA189" s="6">
        <v>-3629.38</v>
      </c>
      <c r="AB189" s="6">
        <v>-6227.63</v>
      </c>
      <c r="AC189" s="6">
        <v>-3043.45</v>
      </c>
      <c r="AD189" s="6">
        <v>-6134.7199999988079</v>
      </c>
      <c r="AE189" s="6">
        <v>-7379.9</v>
      </c>
      <c r="AF189" s="6">
        <v>-1498.36</v>
      </c>
      <c r="AG189" s="6">
        <v>-10689.64</v>
      </c>
      <c r="AH189" s="6">
        <v>-4972.63</v>
      </c>
      <c r="AI189" s="62">
        <v>-1584.77</v>
      </c>
      <c r="AJ189" s="62">
        <v>-64.06</v>
      </c>
      <c r="AK189" s="62">
        <v>-113216.14</v>
      </c>
      <c r="AL189" s="62">
        <v>-247189.39</v>
      </c>
      <c r="AM189" s="62">
        <v>-221837.37</v>
      </c>
      <c r="AN189" s="62">
        <v>-477258.32</v>
      </c>
      <c r="AO189" s="248"/>
      <c r="AP189" s="248"/>
      <c r="AQ189" s="248"/>
      <c r="AR189" s="248"/>
      <c r="AS189" s="248"/>
      <c r="AT189" s="248"/>
      <c r="AU189" s="248"/>
      <c r="AV189" s="248"/>
      <c r="AW189" s="248"/>
      <c r="AX189" s="277"/>
      <c r="AY189" s="196"/>
    </row>
    <row r="190" spans="1:51" s="180" customFormat="1" x14ac:dyDescent="0.25">
      <c r="A190" s="83" t="s">
        <v>572</v>
      </c>
      <c r="B190" s="24"/>
      <c r="C190" s="229" t="s">
        <v>249</v>
      </c>
      <c r="D190" s="248"/>
      <c r="E190" s="248"/>
      <c r="F190" s="248"/>
      <c r="G190" s="248"/>
      <c r="H190" s="248"/>
      <c r="I190" s="248"/>
      <c r="J190" s="248"/>
      <c r="K190" s="248"/>
      <c r="L190" s="248"/>
      <c r="M190" s="248"/>
      <c r="N190" s="248"/>
      <c r="O190" s="248"/>
      <c r="P190" s="248"/>
      <c r="Q190" s="248"/>
      <c r="R190" s="248"/>
      <c r="S190" s="248"/>
      <c r="T190" s="248"/>
      <c r="U190" s="248"/>
      <c r="V190" s="248"/>
      <c r="W190" s="6"/>
      <c r="X190" s="6"/>
      <c r="Y190" s="6"/>
      <c r="Z190" s="6"/>
      <c r="AA190" s="6"/>
      <c r="AB190" s="6"/>
      <c r="AC190" s="6"/>
      <c r="AD190" s="6"/>
      <c r="AE190" s="6"/>
      <c r="AF190" s="6"/>
      <c r="AG190" s="6"/>
      <c r="AH190" s="6"/>
      <c r="AI190" s="62">
        <v>-23.21</v>
      </c>
      <c r="AJ190" s="62">
        <v>-1269.51</v>
      </c>
      <c r="AK190" s="62">
        <v>-5180.16</v>
      </c>
      <c r="AL190" s="62"/>
      <c r="AM190" s="62"/>
      <c r="AN190" s="62"/>
      <c r="AO190" s="248"/>
      <c r="AP190" s="248"/>
      <c r="AQ190" s="248"/>
      <c r="AR190" s="248"/>
      <c r="AS190" s="248"/>
      <c r="AT190" s="248"/>
      <c r="AU190" s="248"/>
      <c r="AV190" s="248"/>
      <c r="AW190" s="248"/>
      <c r="AX190" s="277"/>
      <c r="AY190" s="196"/>
    </row>
    <row r="191" spans="1:51" s="180" customFormat="1" x14ac:dyDescent="0.25">
      <c r="A191" s="83" t="s">
        <v>573</v>
      </c>
      <c r="B191" s="24"/>
      <c r="C191" s="229" t="s">
        <v>249</v>
      </c>
      <c r="D191" s="248"/>
      <c r="E191" s="248"/>
      <c r="F191" s="248"/>
      <c r="G191" s="248"/>
      <c r="H191" s="248"/>
      <c r="I191" s="248"/>
      <c r="J191" s="248"/>
      <c r="K191" s="248"/>
      <c r="L191" s="248"/>
      <c r="M191" s="248"/>
      <c r="N191" s="248"/>
      <c r="O191" s="248"/>
      <c r="P191" s="248"/>
      <c r="Q191" s="248"/>
      <c r="R191" s="248"/>
      <c r="S191" s="248"/>
      <c r="T191" s="248"/>
      <c r="U191" s="248"/>
      <c r="V191" s="248"/>
      <c r="W191" s="6"/>
      <c r="X191" s="6"/>
      <c r="Y191" s="6"/>
      <c r="Z191" s="6"/>
      <c r="AA191" s="6"/>
      <c r="AB191" s="6"/>
      <c r="AC191" s="6"/>
      <c r="AD191" s="6"/>
      <c r="AE191" s="6"/>
      <c r="AF191" s="6"/>
      <c r="AG191" s="6"/>
      <c r="AH191" s="6"/>
      <c r="AI191" s="62">
        <v>-0.28000000000000003</v>
      </c>
      <c r="AJ191" s="62">
        <v>-28.21</v>
      </c>
      <c r="AK191" s="62">
        <v>-25.24</v>
      </c>
      <c r="AL191" s="62"/>
      <c r="AM191" s="62"/>
      <c r="AN191" s="62"/>
      <c r="AO191" s="248"/>
      <c r="AP191" s="248"/>
      <c r="AQ191" s="248"/>
      <c r="AR191" s="248"/>
      <c r="AS191" s="248"/>
      <c r="AT191" s="248"/>
      <c r="AU191" s="248"/>
      <c r="AV191" s="248"/>
      <c r="AW191" s="248"/>
      <c r="AX191" s="277"/>
      <c r="AY191" s="196"/>
    </row>
    <row r="192" spans="1:51" s="180" customFormat="1" x14ac:dyDescent="0.25">
      <c r="A192" s="83" t="s">
        <v>598</v>
      </c>
      <c r="B192" s="24"/>
      <c r="C192" s="229" t="s">
        <v>249</v>
      </c>
      <c r="D192" s="248"/>
      <c r="E192" s="248"/>
      <c r="F192" s="248"/>
      <c r="G192" s="248"/>
      <c r="H192" s="248"/>
      <c r="I192" s="248"/>
      <c r="J192" s="248"/>
      <c r="K192" s="248"/>
      <c r="L192" s="248"/>
      <c r="M192" s="248"/>
      <c r="N192" s="248"/>
      <c r="O192" s="248"/>
      <c r="P192" s="248"/>
      <c r="Q192" s="248"/>
      <c r="R192" s="248"/>
      <c r="S192" s="248"/>
      <c r="T192" s="248"/>
      <c r="U192" s="248"/>
      <c r="V192" s="248"/>
      <c r="W192" s="6"/>
      <c r="X192" s="6"/>
      <c r="Y192" s="6"/>
      <c r="Z192" s="6"/>
      <c r="AA192" s="6"/>
      <c r="AB192" s="6"/>
      <c r="AC192" s="6"/>
      <c r="AD192" s="6"/>
      <c r="AE192" s="6"/>
      <c r="AF192" s="6"/>
      <c r="AG192" s="6"/>
      <c r="AH192" s="6"/>
      <c r="AI192" s="62"/>
      <c r="AJ192" s="62"/>
      <c r="AK192" s="62"/>
      <c r="AL192" s="62"/>
      <c r="AM192" s="62">
        <v>-1.1399999999999999</v>
      </c>
      <c r="AN192" s="62">
        <v>-1.27</v>
      </c>
      <c r="AO192" s="248"/>
      <c r="AP192" s="248"/>
      <c r="AQ192" s="248"/>
      <c r="AR192" s="248"/>
      <c r="AS192" s="248"/>
      <c r="AT192" s="248"/>
      <c r="AU192" s="248"/>
      <c r="AV192" s="248"/>
      <c r="AW192" s="248"/>
      <c r="AX192" s="277"/>
      <c r="AY192" s="196"/>
    </row>
    <row r="193" spans="1:51" s="180" customFormat="1" x14ac:dyDescent="0.25">
      <c r="A193" s="83" t="s">
        <v>588</v>
      </c>
      <c r="B193" s="24"/>
      <c r="C193" s="229" t="s">
        <v>249</v>
      </c>
      <c r="D193" s="248"/>
      <c r="E193" s="248"/>
      <c r="F193" s="248"/>
      <c r="G193" s="248"/>
      <c r="H193" s="248"/>
      <c r="I193" s="248"/>
      <c r="J193" s="248"/>
      <c r="K193" s="248"/>
      <c r="L193" s="248"/>
      <c r="M193" s="248"/>
      <c r="N193" s="248"/>
      <c r="O193" s="248"/>
      <c r="P193" s="248"/>
      <c r="Q193" s="248"/>
      <c r="R193" s="248"/>
      <c r="S193" s="248"/>
      <c r="T193" s="248"/>
      <c r="U193" s="248"/>
      <c r="V193" s="248"/>
      <c r="W193" s="6"/>
      <c r="X193" s="6"/>
      <c r="Y193" s="6"/>
      <c r="Z193" s="6"/>
      <c r="AA193" s="6"/>
      <c r="AB193" s="6"/>
      <c r="AC193" s="6"/>
      <c r="AD193" s="6"/>
      <c r="AE193" s="6"/>
      <c r="AF193" s="6"/>
      <c r="AG193" s="6"/>
      <c r="AH193" s="6"/>
      <c r="AI193" s="62"/>
      <c r="AJ193" s="62"/>
      <c r="AK193" s="62"/>
      <c r="AL193" s="62">
        <v>-27440</v>
      </c>
      <c r="AM193" s="62">
        <v>-27115.91</v>
      </c>
      <c r="AN193" s="62">
        <v>-26610.2</v>
      </c>
      <c r="AO193" s="248"/>
      <c r="AP193" s="248"/>
      <c r="AQ193" s="248"/>
      <c r="AR193" s="248"/>
      <c r="AS193" s="248"/>
      <c r="AT193" s="248"/>
      <c r="AU193" s="248"/>
      <c r="AV193" s="248"/>
      <c r="AW193" s="248"/>
      <c r="AX193" s="277"/>
      <c r="AY193" s="196"/>
    </row>
    <row r="194" spans="1:51" s="192" customFormat="1" x14ac:dyDescent="0.25">
      <c r="A194" s="84" t="s">
        <v>581</v>
      </c>
      <c r="B194" s="190"/>
      <c r="C194" s="229" t="s">
        <v>249</v>
      </c>
      <c r="D194" s="252"/>
      <c r="E194" s="252"/>
      <c r="F194" s="252"/>
      <c r="G194" s="252"/>
      <c r="H194" s="252"/>
      <c r="I194" s="252"/>
      <c r="J194" s="252"/>
      <c r="K194" s="252"/>
      <c r="L194" s="252"/>
      <c r="M194" s="252"/>
      <c r="N194" s="252"/>
      <c r="O194" s="252"/>
      <c r="P194" s="252"/>
      <c r="Q194" s="252"/>
      <c r="R194" s="252"/>
      <c r="S194" s="252"/>
      <c r="T194" s="252"/>
      <c r="U194" s="252"/>
      <c r="V194" s="252"/>
      <c r="W194" s="34"/>
      <c r="X194" s="34"/>
      <c r="Y194" s="34"/>
      <c r="Z194" s="34"/>
      <c r="AA194" s="34"/>
      <c r="AB194" s="34"/>
      <c r="AC194" s="34"/>
      <c r="AD194" s="34"/>
      <c r="AE194" s="34"/>
      <c r="AF194" s="34"/>
      <c r="AG194" s="34"/>
      <c r="AH194" s="34"/>
      <c r="AI194" s="218"/>
      <c r="AJ194" s="218"/>
      <c r="AK194" s="218"/>
      <c r="AL194" s="218"/>
      <c r="AM194" s="218"/>
      <c r="AN194" s="218">
        <v>-100</v>
      </c>
      <c r="AO194" s="252"/>
      <c r="AP194" s="252"/>
      <c r="AQ194" s="252"/>
      <c r="AR194" s="252"/>
      <c r="AS194" s="252"/>
      <c r="AT194" s="252"/>
      <c r="AU194" s="252"/>
      <c r="AV194" s="252"/>
      <c r="AW194" s="252"/>
      <c r="AX194" s="277"/>
      <c r="AY194" s="196"/>
    </row>
    <row r="195" spans="1:51" x14ac:dyDescent="0.25">
      <c r="A195" s="83" t="s">
        <v>41</v>
      </c>
      <c r="C195" s="229" t="s">
        <v>125</v>
      </c>
      <c r="D195" s="248"/>
      <c r="E195" s="248"/>
      <c r="F195" s="248"/>
      <c r="G195" s="248"/>
      <c r="H195" s="248"/>
      <c r="I195" s="248"/>
      <c r="J195" s="248"/>
      <c r="K195" s="248"/>
      <c r="L195" s="248"/>
      <c r="M195" s="248"/>
      <c r="N195" s="248"/>
      <c r="O195" s="248"/>
      <c r="P195" s="248"/>
      <c r="Q195" s="248"/>
      <c r="R195" s="248"/>
      <c r="S195" s="248"/>
      <c r="T195" s="248"/>
      <c r="U195" s="248"/>
      <c r="V195" s="248"/>
      <c r="W195" s="6">
        <v>13622904.82</v>
      </c>
      <c r="X195" s="6">
        <v>15649016.74</v>
      </c>
      <c r="Y195" s="6">
        <v>18427683.98</v>
      </c>
      <c r="Z195" s="6">
        <v>21706822.59</v>
      </c>
      <c r="AA195" s="6">
        <v>24842237.460000001</v>
      </c>
      <c r="AB195" s="6">
        <v>28308592.829999998</v>
      </c>
      <c r="AC195" s="6">
        <v>32011905.23</v>
      </c>
      <c r="AD195" s="6">
        <v>36066667.359999999</v>
      </c>
      <c r="AE195" s="6">
        <v>39790719.359999999</v>
      </c>
      <c r="AF195" s="6">
        <v>43340144.409999996</v>
      </c>
      <c r="AG195" s="6">
        <v>45140531.340000004</v>
      </c>
      <c r="AH195" s="6">
        <v>47041311.18</v>
      </c>
      <c r="AI195" s="62">
        <v>49054689.359999999</v>
      </c>
      <c r="AJ195" s="62">
        <v>44703398.329999998</v>
      </c>
      <c r="AK195" s="62">
        <v>46605112.670000002</v>
      </c>
      <c r="AL195" s="62">
        <v>48541224.579999998</v>
      </c>
      <c r="AM195" s="62">
        <v>49555471.350000001</v>
      </c>
      <c r="AN195" s="62">
        <v>50434836.409999996</v>
      </c>
      <c r="AO195" s="248"/>
      <c r="AP195" s="248"/>
      <c r="AQ195" s="248"/>
      <c r="AR195" s="248"/>
      <c r="AS195" s="248"/>
      <c r="AT195" s="248"/>
      <c r="AU195" s="248"/>
      <c r="AV195" s="248"/>
      <c r="AW195" s="248"/>
      <c r="AX195" s="277"/>
      <c r="AY195" s="196"/>
    </row>
    <row r="196" spans="1:51" x14ac:dyDescent="0.25">
      <c r="C196" s="229"/>
      <c r="D196" s="248"/>
      <c r="E196" s="248"/>
      <c r="F196" s="248"/>
      <c r="G196" s="248"/>
      <c r="H196" s="248"/>
      <c r="I196" s="248"/>
      <c r="J196" s="248"/>
      <c r="K196" s="248"/>
      <c r="L196" s="248"/>
      <c r="M196" s="248"/>
      <c r="N196" s="248"/>
      <c r="O196" s="248"/>
      <c r="P196" s="248"/>
      <c r="Q196" s="248"/>
      <c r="R196" s="248"/>
      <c r="S196" s="248"/>
      <c r="T196" s="248"/>
      <c r="U196" s="248"/>
      <c r="V196" s="248"/>
      <c r="AI196" s="62"/>
      <c r="AJ196" s="62"/>
      <c r="AK196" s="62"/>
      <c r="AL196" s="62"/>
      <c r="AM196" s="62"/>
      <c r="AN196" s="62"/>
      <c r="AO196" s="248"/>
      <c r="AP196" s="248"/>
      <c r="AQ196" s="248"/>
      <c r="AR196" s="248"/>
      <c r="AS196" s="248"/>
      <c r="AT196" s="248"/>
      <c r="AU196" s="248"/>
      <c r="AV196" s="248"/>
      <c r="AW196" s="248"/>
      <c r="AX196" s="277"/>
      <c r="AY196" s="196"/>
    </row>
    <row r="197" spans="1:51" s="8" customFormat="1" x14ac:dyDescent="0.25">
      <c r="A197" s="30" t="s">
        <v>120</v>
      </c>
      <c r="B197" s="30"/>
      <c r="C197" s="229"/>
      <c r="D197" s="255"/>
      <c r="E197" s="255"/>
      <c r="F197" s="255"/>
      <c r="G197" s="255"/>
      <c r="H197" s="255"/>
      <c r="I197" s="255"/>
      <c r="J197" s="255"/>
      <c r="K197" s="255"/>
      <c r="L197" s="255"/>
      <c r="M197" s="255"/>
      <c r="N197" s="255"/>
      <c r="O197" s="255"/>
      <c r="P197" s="255"/>
      <c r="Q197" s="255"/>
      <c r="R197" s="255"/>
      <c r="S197" s="248"/>
      <c r="T197" s="248"/>
      <c r="U197" s="248"/>
      <c r="V197" s="248"/>
      <c r="W197" s="256">
        <f t="shared" ref="W197:AN197" si="42">W186-SUM(W151:W185)</f>
        <v>0</v>
      </c>
      <c r="X197" s="256">
        <f t="shared" si="42"/>
        <v>0</v>
      </c>
      <c r="Y197" s="256">
        <f t="shared" si="42"/>
        <v>0</v>
      </c>
      <c r="Z197" s="256">
        <f t="shared" si="42"/>
        <v>0</v>
      </c>
      <c r="AA197" s="256">
        <f t="shared" si="42"/>
        <v>0</v>
      </c>
      <c r="AB197" s="256">
        <f t="shared" si="42"/>
        <v>0</v>
      </c>
      <c r="AC197" s="256">
        <f t="shared" si="42"/>
        <v>0</v>
      </c>
      <c r="AD197" s="256">
        <f t="shared" si="42"/>
        <v>0</v>
      </c>
      <c r="AE197" s="256">
        <f t="shared" si="42"/>
        <v>0</v>
      </c>
      <c r="AF197" s="256">
        <f t="shared" si="42"/>
        <v>0</v>
      </c>
      <c r="AG197" s="256">
        <f t="shared" si="42"/>
        <v>0</v>
      </c>
      <c r="AH197" s="256">
        <f t="shared" si="42"/>
        <v>0</v>
      </c>
      <c r="AI197" s="256">
        <f t="shared" si="42"/>
        <v>0</v>
      </c>
      <c r="AJ197" s="256">
        <f t="shared" si="42"/>
        <v>0</v>
      </c>
      <c r="AK197" s="256">
        <f t="shared" si="42"/>
        <v>0</v>
      </c>
      <c r="AL197" s="256">
        <f t="shared" si="42"/>
        <v>0</v>
      </c>
      <c r="AM197" s="256">
        <f t="shared" si="42"/>
        <v>0</v>
      </c>
      <c r="AN197" s="256">
        <f t="shared" si="42"/>
        <v>0</v>
      </c>
      <c r="AO197" s="255"/>
      <c r="AP197" s="255"/>
      <c r="AQ197" s="255"/>
      <c r="AR197" s="255"/>
      <c r="AS197" s="255"/>
      <c r="AT197" s="255"/>
      <c r="AU197" s="255"/>
      <c r="AV197" s="255"/>
      <c r="AW197" s="255"/>
      <c r="AX197" s="279"/>
      <c r="AY197" s="197"/>
    </row>
    <row r="198" spans="1:51" s="8" customFormat="1" x14ac:dyDescent="0.25">
      <c r="A198" s="30" t="s">
        <v>42</v>
      </c>
      <c r="B198" s="30"/>
      <c r="C198" s="229"/>
      <c r="D198" s="255"/>
      <c r="E198" s="255"/>
      <c r="F198" s="255"/>
      <c r="G198" s="255"/>
      <c r="H198" s="255"/>
      <c r="I198" s="255"/>
      <c r="J198" s="255"/>
      <c r="K198" s="255"/>
      <c r="L198" s="255"/>
      <c r="M198" s="255"/>
      <c r="N198" s="255"/>
      <c r="O198" s="255"/>
      <c r="P198" s="255"/>
      <c r="Q198" s="255"/>
      <c r="R198" s="255"/>
      <c r="S198" s="248"/>
      <c r="T198" s="248"/>
      <c r="U198" s="248"/>
      <c r="V198" s="248"/>
      <c r="W198" s="256">
        <f>W195-SUM(W186:W194)</f>
        <v>0</v>
      </c>
      <c r="X198" s="256">
        <f t="shared" ref="X198:AN198" si="43">X195-SUM(X186:X194)</f>
        <v>0</v>
      </c>
      <c r="Y198" s="256">
        <f t="shared" si="43"/>
        <v>0</v>
      </c>
      <c r="Z198" s="256">
        <f t="shared" si="43"/>
        <v>0</v>
      </c>
      <c r="AA198" s="256">
        <f t="shared" si="43"/>
        <v>0</v>
      </c>
      <c r="AB198" s="256">
        <f t="shared" si="43"/>
        <v>0</v>
      </c>
      <c r="AC198" s="256">
        <f t="shared" si="43"/>
        <v>0</v>
      </c>
      <c r="AD198" s="256">
        <f t="shared" si="43"/>
        <v>0</v>
      </c>
      <c r="AE198" s="256">
        <f t="shared" si="43"/>
        <v>0</v>
      </c>
      <c r="AF198" s="256">
        <f t="shared" si="43"/>
        <v>0</v>
      </c>
      <c r="AG198" s="256">
        <f t="shared" si="43"/>
        <v>0</v>
      </c>
      <c r="AH198" s="256">
        <f t="shared" si="43"/>
        <v>0</v>
      </c>
      <c r="AI198" s="256">
        <f t="shared" si="43"/>
        <v>0</v>
      </c>
      <c r="AJ198" s="256">
        <f t="shared" si="43"/>
        <v>0</v>
      </c>
      <c r="AK198" s="256">
        <f t="shared" si="43"/>
        <v>0</v>
      </c>
      <c r="AL198" s="256">
        <f t="shared" si="43"/>
        <v>0</v>
      </c>
      <c r="AM198" s="256">
        <f t="shared" si="43"/>
        <v>0</v>
      </c>
      <c r="AN198" s="256">
        <f t="shared" si="43"/>
        <v>0</v>
      </c>
      <c r="AO198" s="255"/>
      <c r="AP198" s="255"/>
      <c r="AQ198" s="255"/>
      <c r="AR198" s="255"/>
      <c r="AS198" s="255"/>
      <c r="AT198" s="255"/>
      <c r="AU198" s="255"/>
      <c r="AV198" s="255"/>
      <c r="AW198" s="255"/>
      <c r="AX198" s="279"/>
      <c r="AY198" s="197"/>
    </row>
    <row r="199" spans="1:51" x14ac:dyDescent="0.25">
      <c r="A199" s="30"/>
      <c r="C199" s="229"/>
      <c r="D199" s="248"/>
      <c r="E199" s="248"/>
      <c r="F199" s="248"/>
      <c r="G199" s="248"/>
      <c r="H199" s="248"/>
      <c r="I199" s="248"/>
      <c r="J199" s="248"/>
      <c r="K199" s="248"/>
      <c r="L199" s="248"/>
      <c r="M199" s="248"/>
      <c r="N199" s="248"/>
      <c r="O199" s="248"/>
      <c r="P199" s="248"/>
      <c r="Q199" s="248"/>
      <c r="R199" s="248"/>
      <c r="S199" s="248"/>
      <c r="T199" s="248"/>
      <c r="U199" s="248"/>
      <c r="V199" s="248"/>
      <c r="AO199" s="248"/>
      <c r="AP199" s="248"/>
      <c r="AQ199" s="248"/>
      <c r="AR199" s="248"/>
      <c r="AS199" s="248"/>
      <c r="AT199" s="248"/>
      <c r="AU199" s="248"/>
      <c r="AV199" s="248"/>
      <c r="AW199" s="248"/>
      <c r="AX199" s="277"/>
      <c r="AY199" s="196"/>
    </row>
    <row r="200" spans="1:51" x14ac:dyDescent="0.25">
      <c r="A200" s="31" t="s">
        <v>204</v>
      </c>
      <c r="C200" s="229"/>
      <c r="D200" s="248"/>
      <c r="E200" s="248"/>
      <c r="F200" s="248"/>
      <c r="G200" s="248"/>
      <c r="H200" s="248"/>
      <c r="I200" s="248"/>
      <c r="J200" s="248"/>
      <c r="K200" s="248"/>
      <c r="L200" s="248"/>
      <c r="M200" s="248"/>
      <c r="N200" s="248"/>
      <c r="O200" s="248"/>
      <c r="P200" s="248"/>
      <c r="Q200" s="248"/>
      <c r="R200" s="248"/>
      <c r="S200" s="248"/>
      <c r="T200" s="248"/>
      <c r="U200" s="248"/>
      <c r="V200" s="248"/>
      <c r="AO200" s="248"/>
      <c r="AP200" s="248"/>
      <c r="AQ200" s="248"/>
      <c r="AR200" s="248"/>
      <c r="AS200" s="248"/>
      <c r="AT200" s="248"/>
      <c r="AU200" s="248"/>
      <c r="AV200" s="248"/>
      <c r="AW200" s="248"/>
      <c r="AX200" s="277"/>
      <c r="AY200" s="196"/>
    </row>
    <row r="201" spans="1:51" x14ac:dyDescent="0.25">
      <c r="C201" s="229"/>
      <c r="D201" s="248"/>
      <c r="E201" s="248"/>
      <c r="F201" s="248"/>
      <c r="G201" s="248"/>
      <c r="H201" s="248"/>
      <c r="I201" s="248"/>
      <c r="J201" s="248"/>
      <c r="K201" s="248"/>
      <c r="L201" s="248"/>
      <c r="M201" s="248"/>
      <c r="N201" s="248"/>
      <c r="O201" s="248"/>
      <c r="P201" s="248"/>
      <c r="Q201" s="248"/>
      <c r="R201" s="248"/>
      <c r="S201" s="248"/>
      <c r="T201" s="248"/>
      <c r="U201" s="248"/>
      <c r="V201" s="248"/>
      <c r="AO201" s="248"/>
      <c r="AP201" s="248"/>
      <c r="AQ201" s="248"/>
      <c r="AR201" s="248"/>
      <c r="AS201" s="248"/>
      <c r="AT201" s="248"/>
      <c r="AU201" s="248"/>
      <c r="AV201" s="248"/>
      <c r="AW201" s="248"/>
      <c r="AX201" s="277"/>
      <c r="AY201" s="196"/>
    </row>
    <row r="202" spans="1:51" x14ac:dyDescent="0.25">
      <c r="A202" s="37"/>
      <c r="B202" s="37"/>
      <c r="C202" s="232"/>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c r="AF202" s="262"/>
      <c r="AG202" s="262"/>
      <c r="AH202" s="262"/>
      <c r="AI202" s="262"/>
      <c r="AJ202" s="262"/>
      <c r="AK202" s="262"/>
      <c r="AL202" s="262"/>
      <c r="AM202" s="262"/>
      <c r="AN202" s="262"/>
      <c r="AO202" s="262"/>
      <c r="AP202" s="262"/>
      <c r="AQ202" s="262"/>
      <c r="AR202" s="262"/>
      <c r="AS202" s="262"/>
      <c r="AT202" s="262"/>
      <c r="AU202" s="262"/>
      <c r="AV202" s="262"/>
      <c r="AW202" s="262"/>
      <c r="AX202" s="277"/>
      <c r="AY202" s="196"/>
    </row>
    <row r="203" spans="1:51" s="56" customFormat="1" x14ac:dyDescent="0.25">
      <c r="A203" s="23" t="s">
        <v>723</v>
      </c>
      <c r="B203" s="83"/>
      <c r="C203" s="229"/>
      <c r="D203" s="263" t="s">
        <v>275</v>
      </c>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c r="AS203" s="266"/>
      <c r="AU203" s="20" t="s">
        <v>567</v>
      </c>
      <c r="AV203" s="20" t="s">
        <v>568</v>
      </c>
      <c r="AW203" s="20" t="s">
        <v>569</v>
      </c>
      <c r="AX203" s="282"/>
      <c r="AY203" s="95"/>
    </row>
    <row r="204" spans="1:51" s="63" customFormat="1" x14ac:dyDescent="0.25">
      <c r="A204" s="59" t="s">
        <v>45</v>
      </c>
      <c r="B204" s="83"/>
      <c r="C204" s="229"/>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62"/>
      <c r="AU204" s="62"/>
      <c r="AV204" s="62"/>
      <c r="AW204" s="62"/>
      <c r="AX204" s="277"/>
      <c r="AY204" s="196"/>
    </row>
    <row r="205" spans="1:51" s="63" customFormat="1" x14ac:dyDescent="0.25">
      <c r="A205" s="83" t="s">
        <v>164</v>
      </c>
      <c r="B205" s="83"/>
      <c r="C205" s="229" t="s">
        <v>230</v>
      </c>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62"/>
      <c r="AU205" s="62"/>
      <c r="AV205" s="62">
        <v>32251158.059999999</v>
      </c>
      <c r="AW205" s="62">
        <v>44651638.990000002</v>
      </c>
      <c r="AX205" s="277"/>
      <c r="AY205" s="196"/>
    </row>
    <row r="206" spans="1:51" s="63" customFormat="1" x14ac:dyDescent="0.25">
      <c r="A206" s="83" t="s">
        <v>165</v>
      </c>
      <c r="B206" s="83"/>
      <c r="C206" s="229" t="s">
        <v>229</v>
      </c>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62"/>
      <c r="AU206" s="62"/>
      <c r="AV206" s="62">
        <v>3406035.72</v>
      </c>
      <c r="AW206" s="62">
        <v>3706786.44</v>
      </c>
      <c r="AX206" s="277"/>
      <c r="AY206" s="196"/>
    </row>
    <row r="207" spans="1:51" s="63" customFormat="1" x14ac:dyDescent="0.25">
      <c r="A207" s="83" t="s">
        <v>197</v>
      </c>
      <c r="B207" s="83"/>
      <c r="C207" s="229" t="s">
        <v>229</v>
      </c>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62"/>
      <c r="AU207" s="62"/>
      <c r="AV207" s="62">
        <v>1972200</v>
      </c>
      <c r="AW207" s="62"/>
      <c r="AX207" s="277"/>
      <c r="AY207" s="196"/>
    </row>
    <row r="208" spans="1:51" s="63" customFormat="1" x14ac:dyDescent="0.25">
      <c r="A208" s="83" t="s">
        <v>166</v>
      </c>
      <c r="B208" s="83"/>
      <c r="C208" s="229" t="s">
        <v>229</v>
      </c>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62"/>
      <c r="AU208" s="62"/>
      <c r="AV208" s="62">
        <v>1610820</v>
      </c>
      <c r="AW208" s="62">
        <v>1610820</v>
      </c>
      <c r="AX208" s="277"/>
      <c r="AY208" s="196"/>
    </row>
    <row r="209" spans="1:53" s="63" customFormat="1" x14ac:dyDescent="0.25">
      <c r="A209" s="83" t="s">
        <v>167</v>
      </c>
      <c r="B209" s="83"/>
      <c r="C209" s="229" t="s">
        <v>229</v>
      </c>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62"/>
      <c r="AU209" s="62"/>
      <c r="AV209" s="62">
        <v>3319578.64</v>
      </c>
      <c r="AW209" s="62">
        <v>1037749.76</v>
      </c>
      <c r="AX209" s="277"/>
      <c r="AY209" s="196"/>
    </row>
    <row r="210" spans="1:53" s="63" customFormat="1" x14ac:dyDescent="0.25">
      <c r="A210" s="83" t="s">
        <v>168</v>
      </c>
      <c r="B210" s="83"/>
      <c r="C210" s="229" t="s">
        <v>644</v>
      </c>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62"/>
      <c r="AU210" s="62"/>
      <c r="AV210" s="62">
        <v>2142.3000000000002</v>
      </c>
      <c r="AW210" s="62">
        <v>2113.2199999999998</v>
      </c>
      <c r="AX210" s="277"/>
      <c r="AY210" s="196"/>
    </row>
    <row r="211" spans="1:53" s="63" customFormat="1" x14ac:dyDescent="0.25">
      <c r="A211" s="83" t="s">
        <v>169</v>
      </c>
      <c r="B211" s="83"/>
      <c r="C211" s="229" t="s">
        <v>230</v>
      </c>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62"/>
      <c r="AU211" s="62"/>
      <c r="AV211" s="62">
        <v>159000</v>
      </c>
      <c r="AW211" s="62">
        <v>159000</v>
      </c>
      <c r="AX211" s="277"/>
      <c r="AY211" s="196"/>
    </row>
    <row r="212" spans="1:53" s="63" customFormat="1" x14ac:dyDescent="0.25">
      <c r="A212" s="83" t="s">
        <v>170</v>
      </c>
      <c r="B212" s="83"/>
      <c r="C212" s="229" t="s">
        <v>645</v>
      </c>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62"/>
      <c r="AU212" s="62"/>
      <c r="AV212" s="62">
        <v>29714.720000000001</v>
      </c>
      <c r="AW212" s="62">
        <v>29714.720000000001</v>
      </c>
      <c r="AX212" s="277"/>
      <c r="AY212" s="196"/>
    </row>
    <row r="213" spans="1:53" s="63" customFormat="1" x14ac:dyDescent="0.25">
      <c r="A213" s="83" t="s">
        <v>171</v>
      </c>
      <c r="B213" s="83"/>
      <c r="C213" s="229" t="s">
        <v>645</v>
      </c>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62"/>
      <c r="AU213" s="62"/>
      <c r="AV213" s="62">
        <v>115453.53</v>
      </c>
      <c r="AW213" s="62">
        <v>145168.25</v>
      </c>
      <c r="AX213" s="277"/>
      <c r="AY213" s="196"/>
    </row>
    <row r="214" spans="1:53" s="63" customFormat="1" x14ac:dyDescent="0.25">
      <c r="A214" s="83" t="s">
        <v>172</v>
      </c>
      <c r="B214" s="83"/>
      <c r="C214" s="229" t="s">
        <v>230</v>
      </c>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62"/>
      <c r="AU214" s="62"/>
      <c r="AV214" s="62">
        <v>472943.75</v>
      </c>
      <c r="AW214" s="62">
        <v>471228.75</v>
      </c>
      <c r="AX214" s="277"/>
      <c r="AY214" s="196"/>
    </row>
    <row r="215" spans="1:53" s="63" customFormat="1" x14ac:dyDescent="0.25">
      <c r="A215" s="83" t="s">
        <v>173</v>
      </c>
      <c r="B215" s="83"/>
      <c r="C215" s="229" t="s">
        <v>230</v>
      </c>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62"/>
      <c r="AU215" s="62"/>
      <c r="AV215" s="62">
        <v>7033.54</v>
      </c>
      <c r="AW215" s="62">
        <v>4385.47</v>
      </c>
      <c r="AX215" s="277"/>
      <c r="AY215" s="196"/>
    </row>
    <row r="216" spans="1:53" s="63" customFormat="1" x14ac:dyDescent="0.25">
      <c r="A216" s="83" t="s">
        <v>174</v>
      </c>
      <c r="B216" s="83"/>
      <c r="C216" s="229" t="s">
        <v>230</v>
      </c>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62"/>
      <c r="AU216" s="62"/>
      <c r="AV216" s="62">
        <v>180700</v>
      </c>
      <c r="AW216" s="62">
        <v>180700</v>
      </c>
      <c r="AX216" s="277"/>
      <c r="AY216" s="196"/>
      <c r="BA216" s="193"/>
    </row>
    <row r="217" spans="1:53" s="63" customFormat="1" x14ac:dyDescent="0.25">
      <c r="A217" s="83" t="s">
        <v>175</v>
      </c>
      <c r="B217" s="83"/>
      <c r="C217" s="229" t="s">
        <v>230</v>
      </c>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62"/>
      <c r="AU217" s="62"/>
      <c r="AV217" s="62">
        <v>14256.86</v>
      </c>
      <c r="AW217" s="62">
        <v>14292.86</v>
      </c>
      <c r="AX217" s="277"/>
      <c r="AY217" s="196"/>
      <c r="BA217" s="193"/>
    </row>
    <row r="218" spans="1:53" s="64" customFormat="1" x14ac:dyDescent="0.25">
      <c r="A218" s="84" t="s">
        <v>245</v>
      </c>
      <c r="B218" s="84"/>
      <c r="C218" s="229" t="s">
        <v>230</v>
      </c>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18"/>
      <c r="AU218" s="218">
        <v>43000000</v>
      </c>
      <c r="AV218" s="218"/>
      <c r="AW218" s="218"/>
      <c r="AX218" s="277"/>
      <c r="AY218" s="196"/>
      <c r="BA218" s="193"/>
    </row>
    <row r="219" spans="1:53" s="64" customFormat="1" x14ac:dyDescent="0.25">
      <c r="A219" s="84" t="s">
        <v>143</v>
      </c>
      <c r="B219" s="84"/>
      <c r="C219" s="229" t="s">
        <v>230</v>
      </c>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18"/>
      <c r="AU219" s="218"/>
      <c r="AV219" s="218"/>
      <c r="AW219" s="218">
        <v>-29714.720000000001</v>
      </c>
      <c r="AX219" s="277"/>
      <c r="AY219" s="196"/>
      <c r="BA219" s="193"/>
    </row>
    <row r="220" spans="1:53" s="68" customFormat="1" x14ac:dyDescent="0.25">
      <c r="A220" s="59" t="s">
        <v>39</v>
      </c>
      <c r="B220" s="59"/>
      <c r="C220" s="229"/>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54"/>
      <c r="AU220" s="256">
        <v>43000000</v>
      </c>
      <c r="AV220" s="254">
        <v>43541037.119999997</v>
      </c>
      <c r="AW220" s="254">
        <v>51983883.740000002</v>
      </c>
      <c r="AX220" s="279"/>
      <c r="AY220" s="197"/>
    </row>
    <row r="221" spans="1:53" s="63" customFormat="1" x14ac:dyDescent="0.25">
      <c r="A221" s="59"/>
      <c r="B221" s="83"/>
      <c r="C221" s="229"/>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62"/>
      <c r="AU221" s="62"/>
      <c r="AV221" s="62"/>
      <c r="AW221" s="62"/>
      <c r="AX221" s="277"/>
      <c r="AY221" s="196"/>
    </row>
    <row r="222" spans="1:53" s="63" customFormat="1" x14ac:dyDescent="0.25">
      <c r="A222" s="59" t="s">
        <v>13</v>
      </c>
      <c r="B222" s="83"/>
      <c r="C222" s="229"/>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62"/>
      <c r="AU222" s="62"/>
      <c r="AV222" s="62"/>
      <c r="AW222" s="62"/>
      <c r="AX222" s="277"/>
      <c r="AY222" s="196"/>
    </row>
    <row r="223" spans="1:53" s="63" customFormat="1" x14ac:dyDescent="0.25">
      <c r="A223" s="83" t="s">
        <v>176</v>
      </c>
      <c r="B223" s="83"/>
      <c r="C223" s="229" t="s">
        <v>249</v>
      </c>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62"/>
      <c r="AU223" s="62"/>
      <c r="AV223" s="62">
        <v>1208552.78</v>
      </c>
      <c r="AW223" s="62">
        <v>153501.70000000001</v>
      </c>
      <c r="AX223" s="277"/>
      <c r="AY223" s="196"/>
    </row>
    <row r="224" spans="1:53" s="63" customFormat="1" x14ac:dyDescent="0.25">
      <c r="A224" s="83" t="s">
        <v>246</v>
      </c>
      <c r="B224" s="83"/>
      <c r="C224" s="229" t="s">
        <v>249</v>
      </c>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62"/>
      <c r="AU224" s="62"/>
      <c r="AV224" s="62"/>
      <c r="AW224" s="62">
        <v>476931</v>
      </c>
      <c r="AX224" s="277"/>
      <c r="AY224" s="196"/>
    </row>
    <row r="225" spans="1:51" s="63" customFormat="1" x14ac:dyDescent="0.25">
      <c r="A225" s="83" t="s">
        <v>177</v>
      </c>
      <c r="B225" s="83"/>
      <c r="C225" s="229" t="s">
        <v>249</v>
      </c>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62"/>
      <c r="AU225" s="62"/>
      <c r="AV225" s="62">
        <v>43.2</v>
      </c>
      <c r="AW225" s="62">
        <v>76.569999999999993</v>
      </c>
      <c r="AX225" s="277"/>
      <c r="AY225" s="196"/>
    </row>
    <row r="226" spans="1:51" s="63" customFormat="1" x14ac:dyDescent="0.25">
      <c r="A226" s="83" t="s">
        <v>178</v>
      </c>
      <c r="B226" s="83"/>
      <c r="C226" s="229" t="s">
        <v>249</v>
      </c>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62"/>
      <c r="AU226" s="62"/>
      <c r="AV226" s="62">
        <v>642.6</v>
      </c>
      <c r="AW226" s="62">
        <v>642.6</v>
      </c>
      <c r="AX226" s="277"/>
      <c r="AY226" s="196"/>
    </row>
    <row r="227" spans="1:51" s="63" customFormat="1" x14ac:dyDescent="0.25">
      <c r="A227" s="83" t="s">
        <v>179</v>
      </c>
      <c r="B227" s="83"/>
      <c r="C227" s="229" t="s">
        <v>249</v>
      </c>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62"/>
      <c r="AU227" s="62"/>
      <c r="AV227" s="62">
        <v>198277.25</v>
      </c>
      <c r="AW227" s="62">
        <v>199622.5</v>
      </c>
      <c r="AX227" s="277"/>
      <c r="AY227" s="196"/>
    </row>
    <row r="228" spans="1:51" s="63" customFormat="1" x14ac:dyDescent="0.25">
      <c r="A228" s="83" t="s">
        <v>180</v>
      </c>
      <c r="B228" s="83"/>
      <c r="C228" s="229" t="s">
        <v>249</v>
      </c>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62"/>
      <c r="AU228" s="62"/>
      <c r="AV228" s="62">
        <v>3300</v>
      </c>
      <c r="AW228" s="62"/>
      <c r="AX228" s="277"/>
      <c r="AY228" s="196"/>
    </row>
    <row r="229" spans="1:51" s="63" customFormat="1" x14ac:dyDescent="0.25">
      <c r="A229" s="83" t="s">
        <v>181</v>
      </c>
      <c r="B229" s="83"/>
      <c r="C229" s="229" t="s">
        <v>249</v>
      </c>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62"/>
      <c r="AU229" s="62"/>
      <c r="AV229" s="62">
        <v>2862.97</v>
      </c>
      <c r="AW229" s="62">
        <v>1930.38</v>
      </c>
      <c r="AX229" s="277"/>
      <c r="AY229" s="196"/>
    </row>
    <row r="230" spans="1:51" s="63" customFormat="1" x14ac:dyDescent="0.25">
      <c r="A230" s="83" t="s">
        <v>182</v>
      </c>
      <c r="B230" s="83"/>
      <c r="C230" s="229" t="s">
        <v>249</v>
      </c>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c r="AP230" s="248"/>
      <c r="AQ230" s="248"/>
      <c r="AR230" s="248"/>
      <c r="AS230" s="248"/>
      <c r="AT230" s="62"/>
      <c r="AU230" s="62"/>
      <c r="AV230" s="62">
        <v>46627.1</v>
      </c>
      <c r="AW230" s="62">
        <v>246139.12</v>
      </c>
      <c r="AX230" s="277"/>
      <c r="AY230" s="196"/>
    </row>
    <row r="231" spans="1:51" s="63" customFormat="1" x14ac:dyDescent="0.25">
      <c r="A231" s="83" t="s">
        <v>183</v>
      </c>
      <c r="B231" s="83"/>
      <c r="C231" s="229" t="s">
        <v>249</v>
      </c>
      <c r="D231" s="248"/>
      <c r="E231" s="248"/>
      <c r="F231" s="248"/>
      <c r="G231" s="248"/>
      <c r="H231" s="248"/>
      <c r="I231" s="248"/>
      <c r="J231" s="248"/>
      <c r="K231" s="248"/>
      <c r="L231" s="248"/>
      <c r="M231" s="248"/>
      <c r="N231" s="248"/>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8"/>
      <c r="AL231" s="248"/>
      <c r="AM231" s="248"/>
      <c r="AN231" s="248"/>
      <c r="AO231" s="248"/>
      <c r="AP231" s="248"/>
      <c r="AQ231" s="248"/>
      <c r="AR231" s="248"/>
      <c r="AS231" s="248"/>
      <c r="AT231" s="62"/>
      <c r="AU231" s="62"/>
      <c r="AV231" s="62">
        <v>283766.25</v>
      </c>
      <c r="AW231" s="62">
        <v>282737.25</v>
      </c>
      <c r="AX231" s="277"/>
      <c r="AY231" s="196"/>
    </row>
    <row r="232" spans="1:51" s="63" customFormat="1" x14ac:dyDescent="0.25">
      <c r="A232" s="83" t="s">
        <v>184</v>
      </c>
      <c r="B232" s="83"/>
      <c r="C232" s="229" t="s">
        <v>249</v>
      </c>
      <c r="D232" s="248"/>
      <c r="E232" s="248"/>
      <c r="F232" s="248"/>
      <c r="G232" s="248"/>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62"/>
      <c r="AU232" s="25">
        <v>41978261.420000002</v>
      </c>
      <c r="AV232" s="62">
        <v>41602008.109999999</v>
      </c>
      <c r="AW232" s="62">
        <v>50427309.759999998</v>
      </c>
      <c r="AX232" s="277"/>
      <c r="AY232" s="196"/>
    </row>
    <row r="233" spans="1:51" s="63" customFormat="1" x14ac:dyDescent="0.25">
      <c r="A233" s="83" t="s">
        <v>185</v>
      </c>
      <c r="B233" s="83"/>
      <c r="C233" s="229" t="s">
        <v>249</v>
      </c>
      <c r="D233" s="248"/>
      <c r="E233" s="248"/>
      <c r="F233" s="248"/>
      <c r="G233" s="248"/>
      <c r="H233" s="248"/>
      <c r="I233" s="248"/>
      <c r="J233" s="248"/>
      <c r="K233" s="248"/>
      <c r="L233" s="248"/>
      <c r="M233" s="248"/>
      <c r="N233" s="248"/>
      <c r="O233" s="248"/>
      <c r="P233" s="248"/>
      <c r="Q233" s="248"/>
      <c r="R233" s="248"/>
      <c r="S233" s="248"/>
      <c r="T233" s="248"/>
      <c r="U233" s="248"/>
      <c r="V233" s="248"/>
      <c r="W233" s="248"/>
      <c r="X233" s="248"/>
      <c r="Y233" s="248"/>
      <c r="Z233" s="248"/>
      <c r="AA233" s="248"/>
      <c r="AB233" s="248"/>
      <c r="AC233" s="248"/>
      <c r="AD233" s="248"/>
      <c r="AE233" s="248"/>
      <c r="AF233" s="248"/>
      <c r="AG233" s="248"/>
      <c r="AH233" s="248"/>
      <c r="AI233" s="248"/>
      <c r="AJ233" s="248"/>
      <c r="AK233" s="248"/>
      <c r="AL233" s="248"/>
      <c r="AM233" s="248"/>
      <c r="AN233" s="248"/>
      <c r="AO233" s="248"/>
      <c r="AP233" s="248"/>
      <c r="AQ233" s="248"/>
      <c r="AR233" s="248"/>
      <c r="AS233" s="248"/>
      <c r="AT233" s="62"/>
      <c r="AU233" s="62"/>
      <c r="AV233" s="62">
        <v>194956.86</v>
      </c>
      <c r="AW233" s="62">
        <v>194992.86</v>
      </c>
      <c r="AX233" s="277"/>
      <c r="AY233" s="196"/>
    </row>
    <row r="234" spans="1:51" s="63" customFormat="1" x14ac:dyDescent="0.25">
      <c r="A234" s="84" t="s">
        <v>245</v>
      </c>
      <c r="B234" s="83"/>
      <c r="C234" s="229" t="s">
        <v>249</v>
      </c>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62"/>
      <c r="AU234" s="218">
        <v>1021738.58</v>
      </c>
      <c r="AV234" s="62"/>
      <c r="AW234" s="62"/>
      <c r="AX234" s="277"/>
      <c r="AY234" s="196"/>
    </row>
    <row r="235" spans="1:51" s="68" customFormat="1" x14ac:dyDescent="0.25">
      <c r="A235" s="59" t="s">
        <v>115</v>
      </c>
      <c r="B235" s="59"/>
      <c r="C235" s="229"/>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54"/>
      <c r="AU235" s="256">
        <v>43000000</v>
      </c>
      <c r="AV235" s="254">
        <v>43541037.119999997</v>
      </c>
      <c r="AW235" s="254">
        <v>51983883.740000002</v>
      </c>
      <c r="AX235" s="279"/>
      <c r="AY235" s="197"/>
    </row>
    <row r="236" spans="1:51" s="63" customFormat="1" x14ac:dyDescent="0.25">
      <c r="A236" s="83"/>
      <c r="B236" s="83"/>
      <c r="C236" s="229"/>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62"/>
      <c r="AU236" s="62"/>
      <c r="AV236" s="62"/>
      <c r="AW236" s="62"/>
      <c r="AX236" s="277"/>
      <c r="AY236" s="196"/>
    </row>
    <row r="237" spans="1:51" s="65" customFormat="1" x14ac:dyDescent="0.25">
      <c r="A237" s="30" t="s">
        <v>120</v>
      </c>
      <c r="B237" s="85"/>
      <c r="C237" s="229"/>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7">
        <f>AT220-SUM(AT205:AT219)</f>
        <v>0</v>
      </c>
      <c r="AU237" s="257">
        <f t="shared" ref="AU237:AW237" si="44">AU220-SUM(AU205:AU219)</f>
        <v>0</v>
      </c>
      <c r="AV237" s="257">
        <f t="shared" si="44"/>
        <v>0</v>
      </c>
      <c r="AW237" s="257">
        <f t="shared" si="44"/>
        <v>0</v>
      </c>
      <c r="AX237" s="279"/>
      <c r="AY237" s="197"/>
    </row>
    <row r="238" spans="1:51" s="65" customFormat="1" x14ac:dyDescent="0.25">
      <c r="A238" s="30" t="s">
        <v>42</v>
      </c>
      <c r="B238" s="85"/>
      <c r="C238" s="229"/>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7">
        <f>AT235-SUM(AT223:AT234)</f>
        <v>0</v>
      </c>
      <c r="AU238" s="257">
        <f t="shared" ref="AU238:AW238" si="45">AU235-SUM(AU223:AU234)</f>
        <v>0</v>
      </c>
      <c r="AV238" s="257">
        <f t="shared" si="45"/>
        <v>0</v>
      </c>
      <c r="AW238" s="257">
        <f t="shared" si="45"/>
        <v>0</v>
      </c>
      <c r="AX238" s="279"/>
      <c r="AY238" s="197"/>
    </row>
    <row r="239" spans="1:51" s="63" customFormat="1" x14ac:dyDescent="0.25">
      <c r="A239" s="83"/>
      <c r="B239" s="83"/>
      <c r="C239" s="229"/>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8"/>
      <c r="AL239" s="248"/>
      <c r="AM239" s="248"/>
      <c r="AN239" s="248"/>
      <c r="AO239" s="248"/>
      <c r="AP239" s="248"/>
      <c r="AQ239" s="248"/>
      <c r="AR239" s="248"/>
      <c r="AS239" s="248"/>
      <c r="AT239" s="62"/>
      <c r="AU239" s="62"/>
      <c r="AV239" s="62"/>
      <c r="AW239" s="62"/>
      <c r="AX239" s="277"/>
      <c r="AY239" s="196"/>
    </row>
    <row r="240" spans="1:51" x14ac:dyDescent="0.25">
      <c r="AX240" s="277"/>
    </row>
    <row r="241" spans="1:51" x14ac:dyDescent="0.25">
      <c r="A241" s="23" t="s">
        <v>106</v>
      </c>
      <c r="AX241" s="277"/>
    </row>
    <row r="242" spans="1:51" x14ac:dyDescent="0.25">
      <c r="AX242" s="277"/>
    </row>
    <row r="243" spans="1:51" x14ac:dyDescent="0.25">
      <c r="A243" s="24" t="s">
        <v>466</v>
      </c>
      <c r="AX243" s="277"/>
      <c r="AY243" s="6"/>
    </row>
    <row r="244" spans="1:51" x14ac:dyDescent="0.25">
      <c r="B244" s="24" t="s">
        <v>100</v>
      </c>
      <c r="AX244" s="277"/>
      <c r="AY244" s="6">
        <v>590000</v>
      </c>
    </row>
    <row r="245" spans="1:51" x14ac:dyDescent="0.25">
      <c r="B245" s="24" t="s">
        <v>101</v>
      </c>
      <c r="AX245" s="277"/>
      <c r="AY245" s="6">
        <v>518000</v>
      </c>
    </row>
    <row r="246" spans="1:51" x14ac:dyDescent="0.25">
      <c r="B246" s="28" t="s">
        <v>470</v>
      </c>
      <c r="AX246" s="277"/>
      <c r="AY246" s="34">
        <f>AY244+2*AY245</f>
        <v>1626000</v>
      </c>
    </row>
    <row r="247" spans="1:51" x14ac:dyDescent="0.25">
      <c r="A247" s="24" t="s">
        <v>467</v>
      </c>
      <c r="AX247" s="277"/>
      <c r="AY247" s="6"/>
    </row>
    <row r="248" spans="1:51" x14ac:dyDescent="0.25">
      <c r="B248" s="24" t="s">
        <v>101</v>
      </c>
      <c r="AX248" s="277"/>
      <c r="AY248" s="6">
        <v>5825000</v>
      </c>
    </row>
    <row r="249" spans="1:51" x14ac:dyDescent="0.25">
      <c r="B249" s="28" t="s">
        <v>471</v>
      </c>
      <c r="AX249" s="277"/>
      <c r="AY249" s="6">
        <f>2*AY248</f>
        <v>11650000</v>
      </c>
    </row>
    <row r="250" spans="1:51" x14ac:dyDescent="0.25">
      <c r="A250" s="24" t="s">
        <v>470</v>
      </c>
      <c r="AX250" s="277"/>
      <c r="AY250" s="34">
        <v>13277000</v>
      </c>
    </row>
    <row r="251" spans="1:51" x14ac:dyDescent="0.25">
      <c r="A251" s="24" t="s">
        <v>468</v>
      </c>
      <c r="AX251" s="277"/>
      <c r="AY251" s="6">
        <v>4806000</v>
      </c>
    </row>
    <row r="252" spans="1:51" x14ac:dyDescent="0.25">
      <c r="A252" s="24" t="s">
        <v>469</v>
      </c>
      <c r="AX252" s="277"/>
      <c r="AY252" s="6">
        <v>18083000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zoomScaleNormal="100" workbookViewId="0">
      <pane xSplit="1" ySplit="4" topLeftCell="AI5" activePane="bottomRight" state="frozen"/>
      <selection pane="topRight" activeCell="D1" sqref="D1"/>
      <selection pane="bottomLeft" activeCell="A2" sqref="A2"/>
      <selection pane="bottomRight" activeCell="AS2" sqref="AS2"/>
    </sheetView>
  </sheetViews>
  <sheetFormatPr defaultColWidth="15.7109375" defaultRowHeight="15" x14ac:dyDescent="0.25"/>
  <cols>
    <col min="1" max="1" width="56.5703125" style="2" customWidth="1"/>
    <col min="2" max="3" width="15.7109375" style="2" customWidth="1"/>
    <col min="4" max="13" width="15.7109375" style="1" customWidth="1"/>
    <col min="14" max="26" width="15.7109375" style="1"/>
    <col min="27" max="27" width="15.7109375" style="63"/>
    <col min="28" max="43" width="15.7109375" style="1"/>
    <col min="44" max="44" width="15.7109375" style="63"/>
    <col min="45" max="45" width="15.7109375" style="1"/>
    <col min="46" max="46" width="16.42578125" style="1" customWidth="1"/>
    <col min="47" max="47" width="15.7109375" style="35"/>
    <col min="48" max="48" width="15.7109375" style="1"/>
    <col min="49" max="49" width="15.7109375" style="180"/>
    <col min="50" max="16384" width="15.7109375" style="1"/>
  </cols>
  <sheetData>
    <row r="1" spans="1:51" s="31" customFormat="1" ht="18.75" x14ac:dyDescent="0.3">
      <c r="A1" s="161" t="s">
        <v>20</v>
      </c>
      <c r="B1" s="162" t="s">
        <v>378</v>
      </c>
      <c r="C1" s="162" t="s">
        <v>382</v>
      </c>
      <c r="D1" s="162" t="s">
        <v>494</v>
      </c>
      <c r="E1" s="162" t="s">
        <v>494</v>
      </c>
      <c r="F1" s="162" t="s">
        <v>495</v>
      </c>
      <c r="G1" s="162" t="s">
        <v>496</v>
      </c>
      <c r="H1" s="162" t="s">
        <v>456</v>
      </c>
      <c r="I1" s="162" t="s">
        <v>456</v>
      </c>
      <c r="J1" s="162" t="s">
        <v>456</v>
      </c>
      <c r="K1" s="162" t="s">
        <v>456</v>
      </c>
      <c r="L1" s="162" t="s">
        <v>457</v>
      </c>
      <c r="M1" s="162" t="s">
        <v>457</v>
      </c>
      <c r="N1" s="162" t="s">
        <v>457</v>
      </c>
      <c r="O1" s="162" t="s">
        <v>457</v>
      </c>
      <c r="P1" s="162" t="s">
        <v>457</v>
      </c>
      <c r="Q1" s="102" t="s">
        <v>458</v>
      </c>
      <c r="R1" s="102" t="s">
        <v>458</v>
      </c>
      <c r="S1" s="162" t="s">
        <v>459</v>
      </c>
      <c r="T1" s="31" t="s">
        <v>460</v>
      </c>
      <c r="U1" s="31" t="s">
        <v>460</v>
      </c>
      <c r="V1" s="31" t="s">
        <v>460</v>
      </c>
      <c r="W1" s="31" t="s">
        <v>460</v>
      </c>
      <c r="X1" s="31" t="s">
        <v>460</v>
      </c>
      <c r="Y1" s="31" t="s">
        <v>461</v>
      </c>
      <c r="Z1" s="31" t="s">
        <v>461</v>
      </c>
      <c r="AA1" s="163" t="s">
        <v>462</v>
      </c>
      <c r="AB1" s="31" t="s">
        <v>455</v>
      </c>
      <c r="AC1" s="31" t="s">
        <v>455</v>
      </c>
      <c r="AD1" s="31" t="s">
        <v>455</v>
      </c>
      <c r="AE1" s="31" t="s">
        <v>455</v>
      </c>
      <c r="AF1" s="31" t="s">
        <v>455</v>
      </c>
      <c r="AG1" s="31" t="s">
        <v>455</v>
      </c>
      <c r="AN1" s="190" t="s">
        <v>163</v>
      </c>
      <c r="AO1" s="191"/>
      <c r="AP1" s="191"/>
      <c r="AQ1" s="93"/>
      <c r="AR1" s="93"/>
      <c r="AS1" s="164"/>
      <c r="AT1" s="164"/>
      <c r="AU1" s="28"/>
      <c r="AV1" s="185"/>
      <c r="AW1" s="190" t="s">
        <v>283</v>
      </c>
    </row>
    <row r="2" spans="1:51" s="2" customFormat="1" ht="15" customHeight="1" x14ac:dyDescent="0.25">
      <c r="A2" s="13" t="s">
        <v>23</v>
      </c>
      <c r="B2" s="202" t="s">
        <v>1</v>
      </c>
      <c r="C2" s="202" t="s">
        <v>1</v>
      </c>
      <c r="D2" s="96" t="s">
        <v>1</v>
      </c>
      <c r="E2" s="96" t="s">
        <v>1</v>
      </c>
      <c r="F2" s="96" t="s">
        <v>1</v>
      </c>
      <c r="G2" s="96" t="s">
        <v>1</v>
      </c>
      <c r="H2" s="96" t="s">
        <v>1</v>
      </c>
      <c r="I2" s="96" t="s">
        <v>1</v>
      </c>
      <c r="J2" s="96" t="s">
        <v>1</v>
      </c>
      <c r="K2" s="103" t="s">
        <v>142</v>
      </c>
      <c r="L2" s="87" t="s">
        <v>24</v>
      </c>
      <c r="M2" s="87" t="s">
        <v>24</v>
      </c>
      <c r="N2" s="87" t="s">
        <v>24</v>
      </c>
      <c r="O2" s="87" t="s">
        <v>24</v>
      </c>
      <c r="P2" s="87" t="s">
        <v>24</v>
      </c>
      <c r="Q2" s="87" t="s">
        <v>24</v>
      </c>
      <c r="R2" s="87" t="s">
        <v>24</v>
      </c>
      <c r="S2" s="87" t="s">
        <v>24</v>
      </c>
      <c r="T2" s="87" t="s">
        <v>24</v>
      </c>
      <c r="U2" s="87" t="s">
        <v>24</v>
      </c>
      <c r="V2" s="87" t="s">
        <v>24</v>
      </c>
      <c r="W2" s="87" t="s">
        <v>24</v>
      </c>
      <c r="X2" s="87" t="s">
        <v>24</v>
      </c>
      <c r="Y2" s="87" t="s">
        <v>24</v>
      </c>
      <c r="Z2" s="87" t="s">
        <v>24</v>
      </c>
      <c r="AA2" s="97" t="s">
        <v>24</v>
      </c>
      <c r="AB2" s="87" t="s">
        <v>24</v>
      </c>
      <c r="AC2" s="87" t="s">
        <v>24</v>
      </c>
      <c r="AD2" s="87" t="s">
        <v>24</v>
      </c>
      <c r="AE2" s="87" t="s">
        <v>24</v>
      </c>
      <c r="AF2" s="87" t="s">
        <v>24</v>
      </c>
      <c r="AG2" s="87" t="s">
        <v>24</v>
      </c>
      <c r="AH2" s="191" t="s">
        <v>454</v>
      </c>
      <c r="AI2" s="191" t="s">
        <v>454</v>
      </c>
      <c r="AJ2" s="191" t="s">
        <v>454</v>
      </c>
      <c r="AK2" s="191" t="s">
        <v>454</v>
      </c>
      <c r="AL2" s="191" t="s">
        <v>454</v>
      </c>
      <c r="AM2" s="191" t="s">
        <v>493</v>
      </c>
      <c r="AN2" s="191"/>
      <c r="AO2" s="191"/>
      <c r="AP2" s="191"/>
      <c r="AQ2" s="201" t="s">
        <v>464</v>
      </c>
      <c r="AR2" s="201" t="s">
        <v>464</v>
      </c>
      <c r="AS2" s="216" t="s">
        <v>465</v>
      </c>
      <c r="AT2" s="216" t="s">
        <v>465</v>
      </c>
      <c r="AU2" s="190"/>
      <c r="AV2" s="185"/>
      <c r="AW2" s="191" t="s">
        <v>463</v>
      </c>
      <c r="AX2" s="191"/>
      <c r="AY2" s="191"/>
    </row>
    <row r="3" spans="1:51" s="181" customFormat="1" ht="15" customHeight="1" x14ac:dyDescent="0.25">
      <c r="A3" s="187" t="s">
        <v>487</v>
      </c>
      <c r="B3" s="202"/>
      <c r="C3" s="202"/>
      <c r="D3" s="202"/>
      <c r="E3" s="202"/>
      <c r="F3" s="202"/>
      <c r="G3" s="202"/>
      <c r="H3" s="202"/>
      <c r="I3" s="202"/>
      <c r="J3" s="202"/>
      <c r="K3" s="206"/>
      <c r="L3" s="200"/>
      <c r="M3" s="200"/>
      <c r="N3" s="200"/>
      <c r="O3" s="200"/>
      <c r="P3" s="200"/>
      <c r="Q3" s="200"/>
      <c r="R3" s="200"/>
      <c r="S3" s="200"/>
      <c r="T3" s="200"/>
      <c r="U3" s="200"/>
      <c r="V3" s="200"/>
      <c r="W3" s="200"/>
      <c r="X3" s="200"/>
      <c r="Y3" s="200"/>
      <c r="Z3" s="200"/>
      <c r="AA3" s="203"/>
      <c r="AB3" s="200"/>
      <c r="AC3" s="200"/>
      <c r="AD3" s="200"/>
      <c r="AE3" s="200"/>
      <c r="AF3" s="200"/>
      <c r="AG3" s="200"/>
      <c r="AH3" s="200" t="s">
        <v>24</v>
      </c>
      <c r="AI3" s="200" t="s">
        <v>24</v>
      </c>
      <c r="AJ3" s="200" t="s">
        <v>24</v>
      </c>
      <c r="AK3" s="200" t="s">
        <v>24</v>
      </c>
      <c r="AL3" s="202" t="s">
        <v>1</v>
      </c>
      <c r="AM3" s="202" t="s">
        <v>479</v>
      </c>
      <c r="AN3" s="189"/>
      <c r="AO3" s="189"/>
      <c r="AP3" s="189"/>
      <c r="AQ3" s="204" t="s">
        <v>154</v>
      </c>
      <c r="AR3" s="205" t="s">
        <v>24</v>
      </c>
      <c r="AS3" s="198" t="s">
        <v>1</v>
      </c>
      <c r="AT3" s="198" t="s">
        <v>1</v>
      </c>
      <c r="AU3" s="183"/>
      <c r="AV3" s="185"/>
      <c r="AW3" s="200" t="s">
        <v>192</v>
      </c>
    </row>
    <row r="4" spans="1:51" s="2" customFormat="1" x14ac:dyDescent="0.25">
      <c r="A4" s="75"/>
      <c r="B4" s="15">
        <v>1904</v>
      </c>
      <c r="C4" s="15">
        <v>1905</v>
      </c>
      <c r="D4" s="15">
        <v>1906</v>
      </c>
      <c r="E4" s="15">
        <v>1907</v>
      </c>
      <c r="F4" s="15">
        <v>1908</v>
      </c>
      <c r="G4" s="15">
        <v>1909</v>
      </c>
      <c r="H4" s="15">
        <v>1910</v>
      </c>
      <c r="I4" s="15">
        <v>1911</v>
      </c>
      <c r="J4" s="15">
        <v>1912</v>
      </c>
      <c r="K4" s="15">
        <v>1913</v>
      </c>
      <c r="L4" s="15">
        <v>1914</v>
      </c>
      <c r="M4" s="15">
        <v>1915</v>
      </c>
      <c r="N4" s="15">
        <v>1916</v>
      </c>
      <c r="O4" s="15">
        <v>1917</v>
      </c>
      <c r="P4" s="15">
        <v>1918</v>
      </c>
      <c r="Q4" s="15">
        <v>1919</v>
      </c>
      <c r="R4" s="15">
        <v>1920</v>
      </c>
      <c r="S4" s="15">
        <v>1921</v>
      </c>
      <c r="T4" s="15">
        <v>1922</v>
      </c>
      <c r="U4" s="15">
        <v>1923</v>
      </c>
      <c r="V4" s="15">
        <v>1924</v>
      </c>
      <c r="W4" s="15">
        <v>1925</v>
      </c>
      <c r="X4" s="15">
        <v>1926</v>
      </c>
      <c r="Y4" s="15">
        <v>1927</v>
      </c>
      <c r="Z4" s="15">
        <v>1928</v>
      </c>
      <c r="AA4" s="82">
        <v>1929</v>
      </c>
      <c r="AB4" s="15">
        <v>1930</v>
      </c>
      <c r="AC4" s="15">
        <v>1931</v>
      </c>
      <c r="AD4" s="15">
        <v>1932</v>
      </c>
      <c r="AE4" s="15">
        <v>1933</v>
      </c>
      <c r="AF4" s="15">
        <v>1934</v>
      </c>
      <c r="AG4" s="15">
        <v>1935</v>
      </c>
      <c r="AH4" s="15">
        <v>1936</v>
      </c>
      <c r="AI4" s="15">
        <v>1937</v>
      </c>
      <c r="AJ4" s="15">
        <v>1938</v>
      </c>
      <c r="AK4" s="15">
        <v>1939</v>
      </c>
      <c r="AL4" s="15">
        <v>1940</v>
      </c>
      <c r="AM4" s="82"/>
      <c r="AN4" s="199">
        <v>1942</v>
      </c>
      <c r="AO4" s="199">
        <v>1943</v>
      </c>
      <c r="AP4" s="199">
        <v>1944</v>
      </c>
      <c r="AQ4" s="82">
        <v>1945</v>
      </c>
      <c r="AR4" s="82">
        <v>1946</v>
      </c>
      <c r="AS4" s="15">
        <v>1947</v>
      </c>
      <c r="AT4" s="15">
        <v>1948</v>
      </c>
      <c r="AU4" s="100" t="s">
        <v>529</v>
      </c>
      <c r="AV4" s="185"/>
      <c r="AW4" s="199">
        <v>1941</v>
      </c>
    </row>
    <row r="5" spans="1:51" x14ac:dyDescent="0.25">
      <c r="A5" s="16" t="s">
        <v>7</v>
      </c>
      <c r="B5" s="10"/>
      <c r="C5" s="10"/>
      <c r="D5" s="10"/>
      <c r="E5" s="10"/>
      <c r="F5" s="10"/>
      <c r="G5" s="10"/>
      <c r="H5" s="10"/>
      <c r="I5" s="10"/>
      <c r="J5" s="10"/>
      <c r="K5" s="10"/>
      <c r="L5" s="10"/>
      <c r="M5" s="10"/>
      <c r="AM5" s="63"/>
      <c r="AN5" s="193"/>
      <c r="AO5" s="193"/>
      <c r="AP5" s="193"/>
      <c r="AQ5" s="63"/>
      <c r="AV5" s="185"/>
      <c r="AW5" s="193"/>
    </row>
    <row r="6" spans="1:51" s="9" customFormat="1" x14ac:dyDescent="0.25">
      <c r="A6" s="14" t="s">
        <v>187</v>
      </c>
      <c r="AA6" s="63"/>
      <c r="AM6" s="67">
        <v>211879000</v>
      </c>
      <c r="AN6" s="196"/>
      <c r="AO6" s="196"/>
      <c r="AP6" s="196"/>
      <c r="AQ6" s="67"/>
      <c r="AR6" s="67"/>
      <c r="AU6" s="35"/>
      <c r="AV6" s="185"/>
      <c r="AW6" s="196">
        <v>206400000</v>
      </c>
    </row>
    <row r="7" spans="1:51" s="9" customFormat="1" x14ac:dyDescent="0.25">
      <c r="A7" s="14" t="s">
        <v>188</v>
      </c>
      <c r="B7" s="9">
        <v>6720494</v>
      </c>
      <c r="C7" s="9">
        <v>5697614</v>
      </c>
      <c r="D7" s="9">
        <v>8009638.1399999997</v>
      </c>
      <c r="E7" s="9">
        <v>7788673.2599999998</v>
      </c>
      <c r="F7" s="9">
        <v>8258735.8499999996</v>
      </c>
      <c r="G7" s="9">
        <v>6270211.8700000001</v>
      </c>
      <c r="H7" s="9">
        <v>7799633.6299999999</v>
      </c>
      <c r="I7" s="9">
        <v>7415454.04</v>
      </c>
      <c r="J7" s="9">
        <v>11262039.789999999</v>
      </c>
      <c r="K7" s="9">
        <v>11653880.07</v>
      </c>
      <c r="L7" s="9">
        <v>9387878.0399999991</v>
      </c>
      <c r="M7" s="9">
        <v>9393279.0299999993</v>
      </c>
      <c r="N7" s="9">
        <v>21585237.07</v>
      </c>
      <c r="O7" s="9">
        <v>52871372.229999997</v>
      </c>
      <c r="P7" s="9">
        <v>115146704.8</v>
      </c>
      <c r="Q7" s="9">
        <v>95247722</v>
      </c>
      <c r="R7" s="9">
        <v>116023841</v>
      </c>
      <c r="S7" s="9">
        <v>131507519</v>
      </c>
      <c r="T7" s="9">
        <v>149717446.34</v>
      </c>
      <c r="U7" s="9">
        <v>138202721.55000001</v>
      </c>
      <c r="V7" s="9">
        <v>108366918.06</v>
      </c>
      <c r="W7" s="9">
        <v>105386824.7</v>
      </c>
      <c r="X7" s="9">
        <v>93426124</v>
      </c>
      <c r="Y7" s="9">
        <v>92004908</v>
      </c>
      <c r="Z7" s="9">
        <v>109308937</v>
      </c>
      <c r="AA7" s="63">
        <v>80391412.859999999</v>
      </c>
      <c r="AB7" s="9">
        <v>92426181.989999995</v>
      </c>
      <c r="AC7" s="9">
        <v>82133411.430000007</v>
      </c>
      <c r="AD7" s="9">
        <v>72110827.730000004</v>
      </c>
      <c r="AE7" s="9">
        <v>70015053.180000007</v>
      </c>
      <c r="AF7" s="9">
        <v>59245239.840000004</v>
      </c>
      <c r="AG7" s="9">
        <v>60896165.990000002</v>
      </c>
      <c r="AH7" s="9">
        <v>83613554.760000005</v>
      </c>
      <c r="AI7" s="9">
        <v>90371401.150000006</v>
      </c>
      <c r="AJ7" s="9">
        <v>102178548.08</v>
      </c>
      <c r="AK7" s="9">
        <v>115588471.58</v>
      </c>
      <c r="AL7" s="9">
        <v>122257054.18000001</v>
      </c>
      <c r="AM7" s="67"/>
      <c r="AN7" s="196"/>
      <c r="AO7" s="196"/>
      <c r="AP7" s="196"/>
      <c r="AQ7" s="67">
        <v>93398182</v>
      </c>
      <c r="AR7" s="67">
        <v>211572806</v>
      </c>
      <c r="AU7" s="35" t="s">
        <v>161</v>
      </c>
      <c r="AV7" s="185"/>
      <c r="AW7" s="196"/>
    </row>
    <row r="8" spans="1:51" s="9" customFormat="1" x14ac:dyDescent="0.25">
      <c r="A8" s="14" t="s">
        <v>189</v>
      </c>
      <c r="B8" s="9">
        <v>6367206.6200000001</v>
      </c>
      <c r="C8" s="9">
        <v>5653607</v>
      </c>
      <c r="D8" s="9">
        <v>10319791.02</v>
      </c>
      <c r="E8" s="9">
        <v>10869079.630000001</v>
      </c>
      <c r="F8" s="9">
        <v>11536128.65</v>
      </c>
      <c r="G8" s="9">
        <v>11446194.869999999</v>
      </c>
      <c r="H8" s="9">
        <v>14019037.369999999</v>
      </c>
      <c r="I8" s="9">
        <v>18189289.219999999</v>
      </c>
      <c r="J8" s="9">
        <v>23922392.390000001</v>
      </c>
      <c r="K8" s="9">
        <v>24503305.109999999</v>
      </c>
      <c r="L8" s="9">
        <v>26971309.129999999</v>
      </c>
      <c r="M8" s="9">
        <v>29690567.609999999</v>
      </c>
      <c r="N8" s="9">
        <v>27213950.870000001</v>
      </c>
      <c r="O8" s="9">
        <v>30535890.84</v>
      </c>
      <c r="P8" s="9">
        <v>43740744.759999998</v>
      </c>
      <c r="Q8" s="9">
        <v>99068759</v>
      </c>
      <c r="R8" s="9">
        <v>103547009</v>
      </c>
      <c r="S8" s="9">
        <v>70753659</v>
      </c>
      <c r="T8" s="9">
        <v>45609527.020000003</v>
      </c>
      <c r="U8" s="9">
        <v>44616299.090000004</v>
      </c>
      <c r="V8" s="9">
        <v>38866171.359999999</v>
      </c>
      <c r="W8" s="9">
        <v>42187717.920000002</v>
      </c>
      <c r="X8" s="9">
        <v>46619112</v>
      </c>
      <c r="Y8" s="9">
        <v>47513714</v>
      </c>
      <c r="Z8" s="9">
        <v>60200523</v>
      </c>
      <c r="AA8" s="67">
        <v>65912938.460000001</v>
      </c>
      <c r="AB8" s="9">
        <v>63392290</v>
      </c>
      <c r="AC8" s="9">
        <v>67273907.620000005</v>
      </c>
      <c r="AD8" s="9">
        <v>68116154.5</v>
      </c>
      <c r="AE8" s="9">
        <v>67340569.450000003</v>
      </c>
      <c r="AF8" s="9">
        <v>65525393.299999997</v>
      </c>
      <c r="AG8" s="9">
        <v>67561170.849999994</v>
      </c>
      <c r="AH8" s="9">
        <v>80674518.319999993</v>
      </c>
      <c r="AI8" s="9">
        <v>81694941.709999993</v>
      </c>
      <c r="AJ8" s="9">
        <v>88247409</v>
      </c>
      <c r="AK8" s="9">
        <v>90720243.670000002</v>
      </c>
      <c r="AL8" s="9">
        <v>93619074.840000004</v>
      </c>
      <c r="AM8" s="67"/>
      <c r="AN8" s="196"/>
      <c r="AO8" s="196"/>
      <c r="AP8" s="196"/>
      <c r="AQ8" s="67"/>
      <c r="AR8" s="67"/>
      <c r="AS8" s="67">
        <v>103100000</v>
      </c>
      <c r="AT8" s="9">
        <v>244900000</v>
      </c>
      <c r="AU8" s="35"/>
      <c r="AV8" s="185"/>
      <c r="AW8" s="196"/>
    </row>
    <row r="9" spans="1:51" s="9" customFormat="1" x14ac:dyDescent="0.25">
      <c r="A9" s="14" t="s">
        <v>141</v>
      </c>
      <c r="AB9" s="9">
        <f>3324092.01+4194268.25</f>
        <v>7518360.2599999998</v>
      </c>
      <c r="AC9" s="9">
        <f>2774199.26+6574117.77</f>
        <v>9348317.0299999993</v>
      </c>
      <c r="AD9" s="9">
        <f>2774382.61+6801084.82</f>
        <v>9575467.4299999997</v>
      </c>
      <c r="AE9" s="9">
        <f>2326495+8089123.86</f>
        <v>10415618.859999999</v>
      </c>
      <c r="AF9" s="9">
        <f>2580111.86+6812607.46</f>
        <v>9392719.3200000003</v>
      </c>
      <c r="AG9" s="9">
        <f>2733005.02+7822103.65</f>
        <v>10555108.67</v>
      </c>
      <c r="AH9" s="9">
        <f>2926642.22+8348878.46</f>
        <v>11275520.68</v>
      </c>
      <c r="AI9" s="9">
        <f>3092899.31+11598394.92</f>
        <v>14691294.23</v>
      </c>
      <c r="AJ9" s="9">
        <f>4250368.38+15621514.37</f>
        <v>19871882.75</v>
      </c>
      <c r="AK9" s="9">
        <f>4885990.91+15607875.35</f>
        <v>20493866.259999998</v>
      </c>
      <c r="AL9" s="9">
        <f>6028833.07+17749552.36</f>
        <v>23778385.43</v>
      </c>
      <c r="AM9" s="67"/>
      <c r="AN9" s="196"/>
      <c r="AO9" s="196"/>
      <c r="AP9" s="196"/>
      <c r="AQ9" s="67"/>
      <c r="AR9" s="67"/>
      <c r="AS9" s="67">
        <v>94600000</v>
      </c>
      <c r="AT9" s="9">
        <v>85500000</v>
      </c>
      <c r="AU9" s="35"/>
      <c r="AV9" s="185"/>
      <c r="AW9" s="196"/>
    </row>
    <row r="10" spans="1:51" s="9" customFormat="1" x14ac:dyDescent="0.25">
      <c r="A10" s="14" t="s">
        <v>160</v>
      </c>
      <c r="B10" s="9">
        <v>319966.38</v>
      </c>
      <c r="C10" s="9">
        <v>307134</v>
      </c>
      <c r="D10" s="9">
        <v>151801.47</v>
      </c>
      <c r="E10" s="9">
        <v>98642.67</v>
      </c>
      <c r="F10" s="9">
        <v>825618.72</v>
      </c>
      <c r="G10" s="9">
        <v>841157.01</v>
      </c>
      <c r="H10" s="9">
        <v>1399241.06</v>
      </c>
      <c r="I10" s="9">
        <v>1691840.91</v>
      </c>
      <c r="J10" s="9">
        <v>1475174.61</v>
      </c>
      <c r="K10" s="9">
        <v>1450364.03</v>
      </c>
      <c r="L10" s="9">
        <v>1431600.48</v>
      </c>
      <c r="M10" s="9">
        <v>1166633.2</v>
      </c>
      <c r="N10" s="9">
        <v>2895946.7</v>
      </c>
      <c r="O10" s="9">
        <v>6539382.0199999996</v>
      </c>
      <c r="P10" s="9">
        <v>11247937.01</v>
      </c>
      <c r="Q10" s="9">
        <v>9959934</v>
      </c>
      <c r="R10" s="9">
        <v>15961456</v>
      </c>
      <c r="S10" s="9">
        <v>10407808</v>
      </c>
      <c r="T10" s="9">
        <v>9519138.7400000002</v>
      </c>
      <c r="U10" s="9">
        <v>11402026.710000001</v>
      </c>
      <c r="V10" s="9">
        <v>12922463.210000001</v>
      </c>
      <c r="W10" s="9">
        <v>14158473.07</v>
      </c>
      <c r="X10" s="9">
        <v>11344184</v>
      </c>
      <c r="Y10" s="9">
        <v>13877994</v>
      </c>
      <c r="Z10" s="9">
        <v>12247640</v>
      </c>
      <c r="AA10" s="67">
        <v>11524593.800000001</v>
      </c>
      <c r="AB10" s="9">
        <v>22812128.25</v>
      </c>
      <c r="AC10" s="9">
        <v>32332153.510000002</v>
      </c>
      <c r="AD10" s="9">
        <v>36918143.219999999</v>
      </c>
      <c r="AE10" s="9">
        <v>42183615.649999999</v>
      </c>
      <c r="AF10" s="9">
        <v>46083432.229999997</v>
      </c>
      <c r="AG10" s="9">
        <v>49603642.850000001</v>
      </c>
      <c r="AH10" s="9">
        <v>56620640.990000002</v>
      </c>
      <c r="AI10" s="9">
        <v>57060841.200000003</v>
      </c>
      <c r="AJ10" s="9">
        <v>49381558.520000003</v>
      </c>
      <c r="AK10" s="9">
        <v>29834423.859999999</v>
      </c>
      <c r="AL10" s="9">
        <v>29967268.399999999</v>
      </c>
      <c r="AM10" s="67">
        <v>31301000</v>
      </c>
      <c r="AN10" s="196"/>
      <c r="AO10" s="196"/>
      <c r="AP10" s="196"/>
      <c r="AQ10" s="67">
        <v>25846988</v>
      </c>
      <c r="AR10" s="67">
        <v>40102842</v>
      </c>
      <c r="AU10" s="35" t="s">
        <v>162</v>
      </c>
      <c r="AV10" s="185"/>
      <c r="AW10" s="196">
        <v>31100000</v>
      </c>
    </row>
    <row r="11" spans="1:51" s="9" customFormat="1" x14ac:dyDescent="0.25">
      <c r="A11" s="14" t="s">
        <v>385</v>
      </c>
      <c r="B11" s="9">
        <v>305028.45</v>
      </c>
      <c r="AA11" s="67"/>
      <c r="AM11" s="67"/>
      <c r="AN11" s="196"/>
      <c r="AO11" s="196"/>
      <c r="AP11" s="196"/>
      <c r="AQ11" s="67"/>
      <c r="AR11" s="67"/>
      <c r="AU11" s="35"/>
      <c r="AV11" s="185"/>
      <c r="AW11" s="196"/>
    </row>
    <row r="12" spans="1:51" s="9" customFormat="1" x14ac:dyDescent="0.25">
      <c r="A12" s="14" t="s">
        <v>383</v>
      </c>
      <c r="C12" s="9">
        <v>140364</v>
      </c>
      <c r="D12" s="9">
        <v>153735.23000000001</v>
      </c>
      <c r="E12" s="9">
        <v>169681.46</v>
      </c>
      <c r="F12" s="9">
        <v>168320.26</v>
      </c>
      <c r="G12" s="9">
        <v>171768.02</v>
      </c>
      <c r="H12" s="9">
        <v>260067.77</v>
      </c>
      <c r="I12" s="9">
        <v>264966.74</v>
      </c>
      <c r="J12" s="9">
        <v>283617.34000000003</v>
      </c>
      <c r="K12" s="9">
        <v>305113.02</v>
      </c>
      <c r="L12" s="9">
        <v>320772.18</v>
      </c>
      <c r="M12" s="9">
        <v>323275.59999999998</v>
      </c>
      <c r="N12" s="9">
        <v>568010.27</v>
      </c>
      <c r="O12" s="9">
        <v>559074.52</v>
      </c>
      <c r="P12" s="9">
        <v>727942.67</v>
      </c>
      <c r="Q12" s="9">
        <v>1025851</v>
      </c>
      <c r="R12" s="9">
        <v>1678404</v>
      </c>
      <c r="S12" s="9">
        <v>1915883</v>
      </c>
      <c r="T12" s="9">
        <v>2242124.56</v>
      </c>
      <c r="U12" s="9">
        <v>2821518.78</v>
      </c>
      <c r="V12" s="9">
        <v>2363534.29</v>
      </c>
      <c r="W12" s="9">
        <v>2359953.0099999998</v>
      </c>
      <c r="X12" s="9">
        <v>2402199</v>
      </c>
      <c r="Y12" s="9">
        <v>2488723</v>
      </c>
      <c r="Z12" s="9">
        <v>2387478</v>
      </c>
      <c r="AA12" s="67">
        <v>2352453.48</v>
      </c>
      <c r="AB12" s="9">
        <v>2280111.6800000002</v>
      </c>
      <c r="AC12" s="9">
        <v>2616560.23</v>
      </c>
      <c r="AD12" s="9">
        <v>4130310.31</v>
      </c>
      <c r="AE12" s="9">
        <v>2481541.96</v>
      </c>
      <c r="AF12" s="9">
        <v>2412449.11</v>
      </c>
      <c r="AG12" s="9">
        <v>2310004.16</v>
      </c>
      <c r="AH12" s="9">
        <v>4524341.3499999996</v>
      </c>
      <c r="AI12" s="9">
        <v>4805515.82</v>
      </c>
      <c r="AJ12" s="9">
        <v>4522486</v>
      </c>
      <c r="AK12" s="9">
        <v>5220461.18</v>
      </c>
      <c r="AL12" s="9">
        <v>5490036.4699999997</v>
      </c>
      <c r="AM12" s="67"/>
      <c r="AN12" s="196"/>
      <c r="AO12" s="196"/>
      <c r="AP12" s="196"/>
      <c r="AQ12" s="67"/>
      <c r="AR12" s="67"/>
      <c r="AU12" s="35"/>
      <c r="AV12" s="185"/>
      <c r="AW12" s="196"/>
    </row>
    <row r="13" spans="1:51" s="9" customFormat="1" x14ac:dyDescent="0.25">
      <c r="A13" s="14" t="s">
        <v>384</v>
      </c>
      <c r="C13" s="9">
        <v>346160</v>
      </c>
      <c r="D13" s="9">
        <v>364447.25</v>
      </c>
      <c r="E13" s="9">
        <v>528214.85</v>
      </c>
      <c r="F13" s="9">
        <v>581176.72</v>
      </c>
      <c r="G13" s="9">
        <v>587459.27</v>
      </c>
      <c r="H13" s="9">
        <v>692686.92</v>
      </c>
      <c r="I13" s="9">
        <v>536023.68999999994</v>
      </c>
      <c r="J13" s="9">
        <v>496497.32</v>
      </c>
      <c r="K13" s="9">
        <v>334192.52</v>
      </c>
      <c r="L13" s="9">
        <v>298769.93</v>
      </c>
      <c r="M13" s="9">
        <v>258939.3</v>
      </c>
      <c r="N13" s="9">
        <v>151160.6</v>
      </c>
      <c r="O13" s="9">
        <v>386260.36</v>
      </c>
      <c r="P13" s="9">
        <v>122881</v>
      </c>
      <c r="Q13" s="9">
        <v>0</v>
      </c>
      <c r="R13" s="9">
        <v>63000</v>
      </c>
      <c r="S13" s="9">
        <v>650371</v>
      </c>
      <c r="T13" s="9">
        <v>4613756.3600000003</v>
      </c>
      <c r="U13" s="9">
        <v>3040921.02</v>
      </c>
      <c r="V13" s="9">
        <v>3036621.08</v>
      </c>
      <c r="W13" s="9">
        <v>1866705.53</v>
      </c>
      <c r="X13" s="9">
        <v>843516</v>
      </c>
      <c r="Y13" s="9">
        <v>3447221</v>
      </c>
      <c r="Z13" s="9">
        <v>3054534</v>
      </c>
      <c r="AA13" s="67">
        <v>3629034.51</v>
      </c>
      <c r="AB13" s="9">
        <v>4558900.45</v>
      </c>
      <c r="AC13" s="9">
        <v>2661819.23</v>
      </c>
      <c r="AD13" s="9">
        <v>2888730.98</v>
      </c>
      <c r="AE13" s="9">
        <v>4357202.29</v>
      </c>
      <c r="AF13" s="9">
        <v>7104987.29</v>
      </c>
      <c r="AG13" s="9">
        <v>6945921.8399999999</v>
      </c>
      <c r="AH13" s="9">
        <v>6525625.0700000003</v>
      </c>
      <c r="AI13" s="9">
        <v>6314837.4699999997</v>
      </c>
      <c r="AJ13" s="9">
        <v>6291973.6600000001</v>
      </c>
      <c r="AK13" s="9">
        <v>6334964.9800000004</v>
      </c>
      <c r="AL13" s="9">
        <v>5982276.1299999999</v>
      </c>
      <c r="AM13" s="67"/>
      <c r="AN13" s="196"/>
      <c r="AO13" s="196"/>
      <c r="AP13" s="196"/>
      <c r="AQ13" s="67"/>
      <c r="AR13" s="67"/>
      <c r="AU13" s="35"/>
      <c r="AV13" s="185"/>
      <c r="AW13" s="196"/>
    </row>
    <row r="14" spans="1:51" s="9" customFormat="1" x14ac:dyDescent="0.25">
      <c r="A14" s="14" t="s">
        <v>8</v>
      </c>
      <c r="AA14" s="67"/>
      <c r="AM14" s="67">
        <v>37689000</v>
      </c>
      <c r="AN14" s="196"/>
      <c r="AO14" s="196"/>
      <c r="AP14" s="196"/>
      <c r="AQ14" s="67"/>
      <c r="AR14" s="67"/>
      <c r="AS14" s="67">
        <v>134000000</v>
      </c>
      <c r="AT14" s="67">
        <v>142200000</v>
      </c>
      <c r="AU14" s="35"/>
      <c r="AV14" s="185"/>
      <c r="AW14" s="196"/>
    </row>
    <row r="15" spans="1:51" s="9" customFormat="1" x14ac:dyDescent="0.25">
      <c r="A15" s="14" t="s">
        <v>380</v>
      </c>
      <c r="B15" s="9">
        <v>3703674.19</v>
      </c>
      <c r="C15" s="9">
        <v>2453914</v>
      </c>
      <c r="D15" s="9">
        <v>3878336.91</v>
      </c>
      <c r="E15" s="9">
        <v>3031296.22</v>
      </c>
      <c r="F15" s="9">
        <v>4619379.63</v>
      </c>
      <c r="G15" s="9">
        <v>6999248.5999999996</v>
      </c>
      <c r="H15" s="9">
        <v>9055852.8399999999</v>
      </c>
      <c r="I15" s="9">
        <v>7634322.79</v>
      </c>
      <c r="J15" s="9">
        <v>15742108.77</v>
      </c>
      <c r="K15" s="9">
        <v>11776096.68</v>
      </c>
      <c r="L15" s="9">
        <v>10968582.050000001</v>
      </c>
      <c r="M15" s="9">
        <v>10736535.119999999</v>
      </c>
      <c r="N15" s="9">
        <v>8173980.6399999997</v>
      </c>
      <c r="O15" s="9">
        <v>37572099.609999999</v>
      </c>
      <c r="P15" s="9">
        <v>18992007.699999999</v>
      </c>
      <c r="Q15" s="9">
        <v>51439161</v>
      </c>
      <c r="R15" s="9">
        <v>77891234</v>
      </c>
      <c r="S15" s="9">
        <v>67650248</v>
      </c>
      <c r="T15" s="9">
        <v>40458548.219999999</v>
      </c>
      <c r="U15" s="9">
        <v>46856102.82</v>
      </c>
      <c r="V15" s="9">
        <v>51280400.880000003</v>
      </c>
      <c r="W15" s="9">
        <v>54672144.170000002</v>
      </c>
      <c r="X15" s="9">
        <v>29420532</v>
      </c>
      <c r="Y15" s="9">
        <v>35911017</v>
      </c>
      <c r="Z15" s="9">
        <v>34536818</v>
      </c>
      <c r="AA15" s="67">
        <v>47146266.979999997</v>
      </c>
      <c r="AM15" s="67"/>
      <c r="AN15" s="196"/>
      <c r="AO15" s="196"/>
      <c r="AP15" s="196"/>
      <c r="AQ15" s="67">
        <v>91384242</v>
      </c>
      <c r="AR15" s="67">
        <v>63174356</v>
      </c>
      <c r="AU15" s="35"/>
      <c r="AV15" s="185"/>
      <c r="AW15" s="196"/>
    </row>
    <row r="16" spans="1:51" s="9" customFormat="1" x14ac:dyDescent="0.25">
      <c r="A16" s="14" t="s">
        <v>156</v>
      </c>
      <c r="B16" s="9">
        <v>652926.47</v>
      </c>
      <c r="C16" s="9">
        <v>265039</v>
      </c>
      <c r="D16" s="9">
        <v>314940.03000000003</v>
      </c>
      <c r="E16" s="9">
        <v>153111.67000000001</v>
      </c>
      <c r="F16" s="9">
        <v>324577.49</v>
      </c>
      <c r="G16" s="9">
        <v>256208.8</v>
      </c>
      <c r="H16" s="9">
        <v>277054.15999999997</v>
      </c>
      <c r="I16" s="9">
        <v>466639.32</v>
      </c>
      <c r="J16" s="9">
        <v>604123.16</v>
      </c>
      <c r="K16" s="9">
        <v>497997.15</v>
      </c>
      <c r="L16" s="9">
        <v>425153.7</v>
      </c>
      <c r="M16" s="9">
        <v>451890.86</v>
      </c>
      <c r="N16" s="9">
        <v>9084581.9000000004</v>
      </c>
      <c r="O16" s="9">
        <v>2102618.4300000002</v>
      </c>
      <c r="Q16" s="9">
        <v>10735816</v>
      </c>
      <c r="R16" s="9">
        <v>8190616</v>
      </c>
      <c r="S16" s="9">
        <v>2862073</v>
      </c>
      <c r="T16" s="9">
        <v>3850497.85</v>
      </c>
      <c r="U16" s="9">
        <v>3577171.67</v>
      </c>
      <c r="V16" s="9">
        <v>6137603.9199999999</v>
      </c>
      <c r="W16" s="9">
        <v>7571529.8200000003</v>
      </c>
      <c r="X16" s="9">
        <v>7956392</v>
      </c>
      <c r="Y16" s="9">
        <v>7942850</v>
      </c>
      <c r="Z16" s="9">
        <v>8198375</v>
      </c>
      <c r="AA16" s="67">
        <v>5398558.2000000002</v>
      </c>
      <c r="AB16" s="9">
        <v>38975742.130000003</v>
      </c>
      <c r="AC16" s="9">
        <v>28413611.960000001</v>
      </c>
      <c r="AD16" s="9">
        <v>35766428.670000002</v>
      </c>
      <c r="AE16" s="9">
        <v>40132845.799999997</v>
      </c>
      <c r="AF16" s="9">
        <v>46222974.850000001</v>
      </c>
      <c r="AG16" s="9">
        <v>48652862.140000001</v>
      </c>
      <c r="AH16" s="9">
        <v>62775665.009999998</v>
      </c>
      <c r="AI16" s="9">
        <v>45915588.920000002</v>
      </c>
      <c r="AJ16" s="9">
        <v>45066607.670000002</v>
      </c>
      <c r="AK16" s="9">
        <v>47906030.490000002</v>
      </c>
      <c r="AL16" s="9">
        <v>52740798.549999997</v>
      </c>
      <c r="AM16" s="196">
        <v>12431000</v>
      </c>
      <c r="AN16" s="196"/>
      <c r="AO16" s="196"/>
      <c r="AP16" s="196"/>
      <c r="AQ16" s="67">
        <v>20925003</v>
      </c>
      <c r="AR16" s="67">
        <v>36197488</v>
      </c>
      <c r="AU16" s="35"/>
      <c r="AV16" s="185"/>
      <c r="AW16" s="196">
        <v>1800000</v>
      </c>
    </row>
    <row r="17" spans="1:49" s="9" customFormat="1" x14ac:dyDescent="0.25">
      <c r="A17" s="14" t="s">
        <v>386</v>
      </c>
      <c r="B17" s="9">
        <v>249302.81</v>
      </c>
      <c r="C17" s="9">
        <v>105445</v>
      </c>
      <c r="D17" s="9">
        <v>318062.26</v>
      </c>
      <c r="E17" s="9">
        <v>654730.81000000006</v>
      </c>
      <c r="F17" s="9">
        <v>615327.80000000005</v>
      </c>
      <c r="G17" s="9">
        <v>550346.18000000005</v>
      </c>
      <c r="H17" s="9">
        <v>1672982.63</v>
      </c>
      <c r="I17" s="9">
        <v>2153702.5699999998</v>
      </c>
      <c r="J17" s="9">
        <v>3568660.99</v>
      </c>
      <c r="K17" s="9">
        <v>1755902.16</v>
      </c>
      <c r="L17" s="9">
        <v>1267428.8400000001</v>
      </c>
      <c r="M17" s="9">
        <v>1653896.47</v>
      </c>
      <c r="N17" s="9">
        <v>25479720.489999998</v>
      </c>
      <c r="O17" s="9">
        <v>46674293.479999997</v>
      </c>
      <c r="P17" s="9">
        <v>31977097.620000001</v>
      </c>
      <c r="Q17" s="9">
        <v>17968918</v>
      </c>
      <c r="R17" s="9">
        <v>9626100</v>
      </c>
      <c r="S17" s="9">
        <v>6407068</v>
      </c>
      <c r="T17" s="9">
        <v>5323481.87</v>
      </c>
      <c r="U17" s="9">
        <v>6958508.7400000002</v>
      </c>
      <c r="AA17" s="67"/>
      <c r="AM17" s="67"/>
      <c r="AN17" s="196"/>
      <c r="AO17" s="196"/>
      <c r="AP17" s="196"/>
      <c r="AQ17" s="67">
        <v>101415827</v>
      </c>
      <c r="AR17" s="67">
        <v>163040755</v>
      </c>
      <c r="AU17" s="35"/>
      <c r="AV17" s="185"/>
      <c r="AW17" s="196">
        <v>29200000</v>
      </c>
    </row>
    <row r="18" spans="1:49" s="9" customFormat="1" x14ac:dyDescent="0.25">
      <c r="A18" s="14" t="s">
        <v>9</v>
      </c>
      <c r="B18" s="9">
        <v>825407.55</v>
      </c>
      <c r="C18" s="9">
        <v>766913</v>
      </c>
      <c r="D18" s="9">
        <v>906231.26</v>
      </c>
      <c r="E18" s="9">
        <v>1055238.04</v>
      </c>
      <c r="F18" s="9">
        <v>1859618.19</v>
      </c>
      <c r="G18" s="9">
        <v>1521157.3</v>
      </c>
      <c r="H18" s="9">
        <v>2513254.89</v>
      </c>
      <c r="I18" s="9">
        <v>3176654.69</v>
      </c>
      <c r="J18" s="9">
        <v>5637251.1600000001</v>
      </c>
      <c r="K18" s="9">
        <v>5830284.0700000003</v>
      </c>
      <c r="L18" s="9">
        <v>4908353.21</v>
      </c>
      <c r="M18" s="9">
        <v>6861126.4400000004</v>
      </c>
      <c r="N18" s="9">
        <v>9595006.9900000002</v>
      </c>
      <c r="O18" s="9">
        <v>23955954.73</v>
      </c>
      <c r="P18" s="9">
        <v>21696016.609999999</v>
      </c>
      <c r="Q18" s="9">
        <v>20760347</v>
      </c>
      <c r="R18" s="9">
        <v>42506966</v>
      </c>
      <c r="S18" s="9">
        <v>19497053</v>
      </c>
      <c r="T18" s="9">
        <v>15747963.689999999</v>
      </c>
      <c r="U18" s="9">
        <v>15380134.82</v>
      </c>
      <c r="V18" s="9">
        <v>14638411.130000001</v>
      </c>
      <c r="W18" s="9">
        <v>17064006.890000001</v>
      </c>
      <c r="X18" s="9">
        <v>16759325</v>
      </c>
      <c r="Y18" s="9">
        <v>17391503</v>
      </c>
      <c r="Z18" s="9">
        <v>18347694</v>
      </c>
      <c r="AA18" s="67">
        <v>26219054.75</v>
      </c>
      <c r="AM18" s="67"/>
      <c r="AN18" s="196"/>
      <c r="AO18" s="196"/>
      <c r="AP18" s="196"/>
      <c r="AQ18" s="67"/>
      <c r="AR18" s="67"/>
      <c r="AU18" s="35"/>
      <c r="AV18" s="185"/>
      <c r="AW18" s="196"/>
    </row>
    <row r="19" spans="1:49" s="9" customFormat="1" x14ac:dyDescent="0.25">
      <c r="A19" s="14" t="s">
        <v>10</v>
      </c>
      <c r="H19" s="9">
        <v>6972773.3300000001</v>
      </c>
      <c r="I19" s="9">
        <v>6248295.9199999999</v>
      </c>
      <c r="J19" s="9">
        <v>6747441.1799999997</v>
      </c>
      <c r="K19" s="9">
        <v>7250525.1100000003</v>
      </c>
      <c r="L19" s="9">
        <v>8197658.9299999997</v>
      </c>
      <c r="M19" s="9">
        <v>8338678.5499999998</v>
      </c>
      <c r="N19" s="9">
        <v>9986867.3200000003</v>
      </c>
      <c r="O19" s="9">
        <v>10104111.390000001</v>
      </c>
      <c r="P19" s="9">
        <v>33180133.23</v>
      </c>
      <c r="AA19" s="67"/>
      <c r="AM19" s="67">
        <v>51312000</v>
      </c>
      <c r="AN19" s="196"/>
      <c r="AO19" s="196"/>
      <c r="AP19" s="196"/>
      <c r="AQ19" s="67">
        <v>123141621</v>
      </c>
      <c r="AR19" s="67"/>
      <c r="AU19" s="35"/>
      <c r="AV19" s="185"/>
      <c r="AW19" s="196"/>
    </row>
    <row r="20" spans="1:49" s="9" customFormat="1" x14ac:dyDescent="0.25">
      <c r="A20" s="14" t="s">
        <v>158</v>
      </c>
      <c r="B20" s="9">
        <v>4691241.2</v>
      </c>
      <c r="D20" s="9">
        <v>4575462.4000000004</v>
      </c>
      <c r="E20" s="9">
        <v>8447611.9100000001</v>
      </c>
      <c r="F20" s="9">
        <v>5173580.2699999996</v>
      </c>
      <c r="G20" s="9">
        <v>6911856.6600000001</v>
      </c>
      <c r="Q20" s="9">
        <v>19421110</v>
      </c>
      <c r="R20" s="9">
        <v>12219668</v>
      </c>
      <c r="S20" s="9">
        <v>15915519</v>
      </c>
      <c r="T20" s="9">
        <v>14968281.970000001</v>
      </c>
      <c r="U20" s="9">
        <v>22438655.73</v>
      </c>
      <c r="V20" s="9">
        <v>28369354.670000002</v>
      </c>
      <c r="W20" s="9">
        <v>29056364.890000001</v>
      </c>
      <c r="X20" s="9">
        <v>22602662</v>
      </c>
      <c r="Y20" s="9">
        <v>27998566</v>
      </c>
      <c r="Z20" s="9">
        <v>15224113</v>
      </c>
      <c r="AA20" s="67">
        <v>18972574.780000001</v>
      </c>
      <c r="AB20" s="9">
        <v>17201887.789999999</v>
      </c>
      <c r="AC20" s="9">
        <v>19701005.079999998</v>
      </c>
      <c r="AD20" s="9">
        <v>18235474.219999999</v>
      </c>
      <c r="AE20" s="9">
        <v>25563557.52</v>
      </c>
      <c r="AF20" s="9">
        <v>24423112.59</v>
      </c>
      <c r="AG20" s="9">
        <v>29469938.370000001</v>
      </c>
      <c r="AH20" s="9">
        <v>39647948.460000001</v>
      </c>
      <c r="AI20" s="9">
        <v>49812577.490000002</v>
      </c>
      <c r="AJ20" s="9">
        <v>64667875.380000003</v>
      </c>
      <c r="AK20" s="9">
        <v>62036025.689999998</v>
      </c>
      <c r="AL20" s="9">
        <v>48073464.350000001</v>
      </c>
      <c r="AM20" s="67"/>
      <c r="AN20" s="196"/>
      <c r="AO20" s="196"/>
      <c r="AP20" s="196"/>
      <c r="AQ20" s="67"/>
      <c r="AR20" s="67">
        <v>132299437</v>
      </c>
      <c r="AS20" s="9">
        <v>223000000</v>
      </c>
      <c r="AT20" s="9">
        <v>313800000</v>
      </c>
      <c r="AU20" s="35"/>
      <c r="AV20" s="185"/>
      <c r="AW20" s="196">
        <v>60400000</v>
      </c>
    </row>
    <row r="21" spans="1:49" s="9" customFormat="1" x14ac:dyDescent="0.25">
      <c r="A21" s="14" t="s">
        <v>159</v>
      </c>
      <c r="B21" s="9">
        <v>4467.88</v>
      </c>
      <c r="C21" s="9">
        <v>75918</v>
      </c>
      <c r="D21" s="9">
        <v>118738.93</v>
      </c>
      <c r="E21" s="9">
        <v>119800.94</v>
      </c>
      <c r="F21" s="9">
        <v>112518.54</v>
      </c>
      <c r="G21" s="9">
        <v>90345.94</v>
      </c>
      <c r="H21" s="9">
        <v>128249.12</v>
      </c>
      <c r="I21" s="9">
        <v>36987.599999999999</v>
      </c>
      <c r="J21" s="9">
        <v>207590.54</v>
      </c>
      <c r="K21" s="9">
        <v>183473.51</v>
      </c>
      <c r="L21" s="9">
        <v>454108.22</v>
      </c>
      <c r="M21" s="9">
        <v>206772.25</v>
      </c>
      <c r="N21" s="9">
        <v>700579.07</v>
      </c>
      <c r="O21" s="9">
        <v>2494008.5</v>
      </c>
      <c r="P21" s="9">
        <v>298941.02</v>
      </c>
      <c r="Q21" s="9">
        <v>3356278</v>
      </c>
      <c r="R21" s="9">
        <v>1606297</v>
      </c>
      <c r="S21" s="9">
        <v>1011653</v>
      </c>
      <c r="T21" s="9">
        <v>1533338.05</v>
      </c>
      <c r="U21" s="9">
        <v>1132912.82</v>
      </c>
      <c r="V21" s="9">
        <v>1093593.8899999999</v>
      </c>
      <c r="W21" s="9">
        <v>963298.44</v>
      </c>
      <c r="X21" s="9">
        <v>1156919</v>
      </c>
      <c r="Y21" s="9">
        <v>1370189</v>
      </c>
      <c r="Z21" s="9">
        <v>1413382</v>
      </c>
      <c r="AA21" s="67">
        <v>1665435.34</v>
      </c>
      <c r="AB21" s="9">
        <v>924142.15</v>
      </c>
      <c r="AC21" s="9">
        <v>561415.38</v>
      </c>
      <c r="AD21" s="9">
        <v>754275.51</v>
      </c>
      <c r="AE21" s="9">
        <v>633536.43000000005</v>
      </c>
      <c r="AF21" s="9">
        <v>515281.88</v>
      </c>
      <c r="AG21" s="9">
        <v>1014668.43</v>
      </c>
      <c r="AH21" s="9">
        <v>1784636.43</v>
      </c>
      <c r="AI21" s="9">
        <v>1329594.52</v>
      </c>
      <c r="AJ21" s="9">
        <v>748407.76</v>
      </c>
      <c r="AK21" s="9">
        <v>1029658.8</v>
      </c>
      <c r="AL21" s="9">
        <v>598134.52</v>
      </c>
      <c r="AM21" s="67"/>
      <c r="AN21" s="196"/>
      <c r="AO21" s="196"/>
      <c r="AP21" s="196"/>
      <c r="AQ21" s="67"/>
      <c r="AR21" s="67"/>
      <c r="AU21" s="35"/>
      <c r="AV21" s="185"/>
      <c r="AW21" s="196"/>
    </row>
    <row r="22" spans="1:49" x14ac:dyDescent="0.25">
      <c r="A22" s="14" t="s">
        <v>388</v>
      </c>
      <c r="B22" s="9"/>
      <c r="C22" s="9">
        <v>2364861</v>
      </c>
      <c r="AN22" s="196"/>
      <c r="AO22" s="196"/>
      <c r="AP22" s="196"/>
      <c r="AV22" s="185"/>
    </row>
    <row r="23" spans="1:49" x14ac:dyDescent="0.25">
      <c r="A23" s="14" t="s">
        <v>389</v>
      </c>
      <c r="B23" s="9"/>
      <c r="C23" s="9">
        <v>395994</v>
      </c>
      <c r="AN23" s="196"/>
      <c r="AO23" s="196"/>
      <c r="AP23" s="196"/>
      <c r="AV23" s="185"/>
    </row>
    <row r="24" spans="1:49" s="9" customFormat="1" x14ac:dyDescent="0.25">
      <c r="A24" s="14" t="s">
        <v>390</v>
      </c>
      <c r="C24" s="9">
        <v>26409</v>
      </c>
      <c r="AA24" s="67"/>
      <c r="AM24" s="67"/>
      <c r="AN24" s="196"/>
      <c r="AO24" s="196"/>
      <c r="AP24" s="196"/>
      <c r="AQ24" s="67"/>
      <c r="AR24" s="67"/>
      <c r="AU24" s="35"/>
      <c r="AV24" s="185"/>
      <c r="AW24" s="196"/>
    </row>
    <row r="25" spans="1:49" s="9" customFormat="1" x14ac:dyDescent="0.25">
      <c r="A25" s="14" t="s">
        <v>392</v>
      </c>
      <c r="C25" s="9">
        <v>3971</v>
      </c>
      <c r="AA25" s="67"/>
      <c r="AM25" s="67"/>
      <c r="AN25" s="196"/>
      <c r="AO25" s="196"/>
      <c r="AP25" s="196"/>
      <c r="AQ25" s="67"/>
      <c r="AR25" s="67"/>
      <c r="AU25" s="35"/>
      <c r="AV25" s="185"/>
      <c r="AW25" s="196"/>
    </row>
    <row r="26" spans="1:49" s="9" customFormat="1" x14ac:dyDescent="0.25">
      <c r="A26" s="14" t="s">
        <v>391</v>
      </c>
      <c r="C26" s="9">
        <v>559</v>
      </c>
      <c r="AA26" s="67"/>
      <c r="AM26" s="67"/>
      <c r="AN26" s="196"/>
      <c r="AO26" s="196"/>
      <c r="AP26" s="196"/>
      <c r="AQ26" s="67"/>
      <c r="AR26" s="67"/>
      <c r="AU26" s="35"/>
      <c r="AV26" s="185"/>
      <c r="AW26" s="196"/>
    </row>
    <row r="27" spans="1:49" s="9" customFormat="1" x14ac:dyDescent="0.25">
      <c r="A27" s="14" t="s">
        <v>393</v>
      </c>
      <c r="C27" s="9">
        <v>868912</v>
      </c>
      <c r="AA27" s="67"/>
      <c r="AM27" s="67"/>
      <c r="AN27" s="196"/>
      <c r="AO27" s="196"/>
      <c r="AP27" s="196"/>
      <c r="AQ27" s="67"/>
      <c r="AR27" s="67"/>
      <c r="AU27" s="35"/>
      <c r="AV27" s="185"/>
      <c r="AW27" s="196"/>
    </row>
    <row r="28" spans="1:49" s="9" customFormat="1" x14ac:dyDescent="0.25">
      <c r="A28" s="14" t="s">
        <v>396</v>
      </c>
      <c r="C28" s="9">
        <v>148500</v>
      </c>
      <c r="AA28" s="67"/>
      <c r="AM28" s="67"/>
      <c r="AN28" s="196"/>
      <c r="AO28" s="196"/>
      <c r="AP28" s="196"/>
      <c r="AQ28" s="67"/>
      <c r="AR28" s="67"/>
      <c r="AU28" s="35"/>
      <c r="AV28" s="185"/>
      <c r="AW28" s="196"/>
    </row>
    <row r="29" spans="1:49" s="9" customFormat="1" x14ac:dyDescent="0.25">
      <c r="A29" s="14" t="s">
        <v>394</v>
      </c>
      <c r="C29" s="9">
        <v>141000</v>
      </c>
      <c r="AA29" s="67"/>
      <c r="AM29" s="67"/>
      <c r="AN29" s="196"/>
      <c r="AO29" s="196"/>
      <c r="AP29" s="196"/>
      <c r="AQ29" s="67"/>
      <c r="AR29" s="67"/>
      <c r="AU29" s="35"/>
      <c r="AV29" s="185"/>
      <c r="AW29" s="196"/>
    </row>
    <row r="30" spans="1:49" s="9" customFormat="1" x14ac:dyDescent="0.25">
      <c r="A30" s="14" t="s">
        <v>395</v>
      </c>
      <c r="C30" s="9">
        <v>117408</v>
      </c>
      <c r="AA30" s="67"/>
      <c r="AM30" s="67"/>
      <c r="AN30" s="196"/>
      <c r="AO30" s="196"/>
      <c r="AP30" s="196"/>
      <c r="AQ30" s="67"/>
      <c r="AR30" s="67"/>
      <c r="AU30" s="35"/>
      <c r="AV30" s="185"/>
      <c r="AW30" s="196"/>
    </row>
    <row r="31" spans="1:49" s="9" customFormat="1" x14ac:dyDescent="0.25">
      <c r="A31" s="14" t="s">
        <v>193</v>
      </c>
      <c r="AA31" s="67"/>
      <c r="AM31" s="67"/>
      <c r="AN31" s="196"/>
      <c r="AO31" s="196"/>
      <c r="AP31" s="196"/>
      <c r="AQ31" s="67">
        <v>25771614</v>
      </c>
      <c r="AR31" s="67">
        <v>34000000</v>
      </c>
      <c r="AU31" s="35"/>
      <c r="AV31" s="185"/>
      <c r="AW31" s="196">
        <v>23500000</v>
      </c>
    </row>
    <row r="32" spans="1:49" s="9" customFormat="1" x14ac:dyDescent="0.25">
      <c r="A32" s="14" t="s">
        <v>11</v>
      </c>
      <c r="C32" s="9">
        <v>59098</v>
      </c>
      <c r="D32" s="9">
        <v>72178.09</v>
      </c>
      <c r="E32" s="9">
        <v>51835.8</v>
      </c>
      <c r="F32" s="9">
        <v>12967.34</v>
      </c>
      <c r="G32" s="9">
        <v>27079.87</v>
      </c>
      <c r="H32" s="9">
        <v>19039.54</v>
      </c>
      <c r="I32" s="9">
        <v>281224.78000000003</v>
      </c>
      <c r="J32" s="9">
        <v>315443.40000000002</v>
      </c>
      <c r="K32" s="9">
        <v>376538.75</v>
      </c>
      <c r="L32" s="9">
        <v>892192.69</v>
      </c>
      <c r="M32" s="9">
        <v>304751.21999999997</v>
      </c>
      <c r="N32" s="9">
        <v>337244.34</v>
      </c>
      <c r="O32" s="9">
        <v>350804.87</v>
      </c>
      <c r="P32" s="9">
        <v>564759.69999999995</v>
      </c>
      <c r="Q32" s="9">
        <v>3108399</v>
      </c>
      <c r="R32" s="9">
        <v>4146118</v>
      </c>
      <c r="S32" s="9">
        <v>7877758</v>
      </c>
      <c r="T32" s="9">
        <v>23881482.02</v>
      </c>
      <c r="U32" s="9">
        <v>23853515.890000001</v>
      </c>
      <c r="V32" s="9">
        <v>1339100.97</v>
      </c>
      <c r="W32" s="9">
        <v>137661.59</v>
      </c>
      <c r="X32" s="9">
        <v>164961</v>
      </c>
      <c r="Y32" s="9">
        <v>20241</v>
      </c>
      <c r="Z32" s="9">
        <v>1003316</v>
      </c>
      <c r="AA32" s="67">
        <v>1978536.85</v>
      </c>
      <c r="AB32" s="9">
        <v>77.81</v>
      </c>
      <c r="AC32" s="9">
        <v>1646.81</v>
      </c>
      <c r="AD32" s="9">
        <v>28288.62</v>
      </c>
      <c r="AE32" s="9">
        <v>26750.42</v>
      </c>
      <c r="AF32" s="9">
        <v>13207.44</v>
      </c>
      <c r="AG32" s="9">
        <v>17030.22</v>
      </c>
      <c r="AH32" s="9">
        <v>13644.98</v>
      </c>
      <c r="AI32" s="9">
        <v>0</v>
      </c>
      <c r="AJ32" s="9">
        <v>50764.18</v>
      </c>
      <c r="AK32" s="9">
        <v>14850.48</v>
      </c>
      <c r="AL32" s="9">
        <v>12056.89</v>
      </c>
      <c r="AM32" s="67"/>
      <c r="AN32" s="196"/>
      <c r="AO32" s="196"/>
      <c r="AP32" s="196"/>
      <c r="AQ32" s="67"/>
      <c r="AR32" s="67"/>
      <c r="AU32" s="35"/>
      <c r="AV32" s="185"/>
      <c r="AW32" s="196"/>
    </row>
    <row r="33" spans="1:49" s="9" customFormat="1" x14ac:dyDescent="0.25">
      <c r="A33" s="14" t="s">
        <v>12</v>
      </c>
      <c r="B33" s="9">
        <v>1408816.92</v>
      </c>
      <c r="C33" s="9">
        <v>1461044</v>
      </c>
      <c r="D33" s="9">
        <v>1520016.97</v>
      </c>
      <c r="E33" s="9">
        <v>1136798.04</v>
      </c>
      <c r="F33" s="9">
        <v>820478.39</v>
      </c>
      <c r="G33" s="9">
        <v>603796.72</v>
      </c>
      <c r="H33" s="9">
        <v>903037.19</v>
      </c>
      <c r="I33" s="9">
        <v>1019991.45</v>
      </c>
      <c r="J33" s="9">
        <v>1509115.05</v>
      </c>
      <c r="K33" s="9">
        <v>1485520.77</v>
      </c>
      <c r="L33" s="9">
        <v>1116059.54</v>
      </c>
      <c r="M33" s="9">
        <v>2156523.34</v>
      </c>
      <c r="N33" s="9">
        <v>6181868.04</v>
      </c>
      <c r="O33" s="9">
        <v>25101855.460000001</v>
      </c>
      <c r="P33" s="9">
        <v>43747486.130000003</v>
      </c>
      <c r="Q33" s="9">
        <v>22495426</v>
      </c>
      <c r="R33" s="9">
        <f>37905838+38530</f>
        <v>37944368</v>
      </c>
      <c r="S33" s="9">
        <v>44046038</v>
      </c>
      <c r="T33" s="9">
        <v>8737874.4900000002</v>
      </c>
      <c r="U33" s="9">
        <v>17777499.41</v>
      </c>
      <c r="V33" s="9">
        <v>12115183.460000001</v>
      </c>
      <c r="W33" s="9">
        <v>12165971.609999999</v>
      </c>
      <c r="X33" s="9">
        <v>12886274</v>
      </c>
      <c r="Y33" s="9">
        <v>6425817</v>
      </c>
      <c r="Z33" s="9">
        <v>6469278</v>
      </c>
      <c r="AA33" s="67">
        <v>7447417.96</v>
      </c>
      <c r="AB33" s="9">
        <v>9465234.4600000009</v>
      </c>
      <c r="AC33" s="9">
        <v>6578127.4500000002</v>
      </c>
      <c r="AD33" s="9">
        <v>4867175.5</v>
      </c>
      <c r="AE33" s="9">
        <v>4416171.1900000004</v>
      </c>
      <c r="AF33" s="9">
        <v>3477994.59</v>
      </c>
      <c r="AG33" s="9">
        <v>3407071.77</v>
      </c>
      <c r="AH33" s="9">
        <v>3504357.75</v>
      </c>
      <c r="AI33" s="9">
        <v>7275927.0300000003</v>
      </c>
      <c r="AJ33" s="9">
        <v>5802899.46</v>
      </c>
      <c r="AK33" s="9">
        <v>4302930.21</v>
      </c>
      <c r="AL33" s="9">
        <v>4692958.82</v>
      </c>
      <c r="AM33" s="67">
        <v>15997000</v>
      </c>
      <c r="AN33" s="196"/>
      <c r="AO33" s="196"/>
      <c r="AP33" s="196"/>
      <c r="AQ33" s="67">
        <v>86533457</v>
      </c>
      <c r="AR33" s="67">
        <v>167822488</v>
      </c>
      <c r="AS33" s="9">
        <v>311800000</v>
      </c>
      <c r="AT33" s="9">
        <v>362300000</v>
      </c>
      <c r="AU33" s="35"/>
      <c r="AV33" s="185"/>
      <c r="AW33" s="196">
        <v>18100000</v>
      </c>
    </row>
    <row r="34" spans="1:49" s="35" customFormat="1" x14ac:dyDescent="0.25">
      <c r="A34" s="5" t="s">
        <v>194</v>
      </c>
      <c r="AA34" s="64"/>
      <c r="AM34" s="64"/>
      <c r="AN34" s="194"/>
      <c r="AO34" s="194"/>
      <c r="AP34" s="194"/>
      <c r="AQ34" s="64"/>
      <c r="AR34" s="64"/>
      <c r="AV34" s="185"/>
      <c r="AW34" s="194">
        <v>-200000</v>
      </c>
    </row>
    <row r="35" spans="1:49" x14ac:dyDescent="0.25">
      <c r="A35" s="4" t="s">
        <v>0</v>
      </c>
      <c r="B35" s="3">
        <v>25248532.469999999</v>
      </c>
      <c r="C35" s="3">
        <v>21399864</v>
      </c>
      <c r="D35" s="3">
        <v>30703379.960000001</v>
      </c>
      <c r="E35" s="3">
        <v>34104715.299999997</v>
      </c>
      <c r="F35" s="3">
        <v>34908427.850000001</v>
      </c>
      <c r="G35" s="3">
        <v>36276831.109999999</v>
      </c>
      <c r="H35" s="3">
        <v>45712910.449999996</v>
      </c>
      <c r="I35" s="3">
        <v>49115393.720000006</v>
      </c>
      <c r="J35" s="3">
        <v>71771455.700000018</v>
      </c>
      <c r="K35" s="3">
        <v>67403192.950000003</v>
      </c>
      <c r="L35" s="3">
        <v>66639866.940000005</v>
      </c>
      <c r="M35" s="3">
        <v>71542868.989999995</v>
      </c>
      <c r="N35" s="3">
        <v>121954154.3</v>
      </c>
      <c r="O35" s="3">
        <v>239247726.43999997</v>
      </c>
      <c r="P35" s="3">
        <v>321442652.24999994</v>
      </c>
      <c r="Q35" s="3">
        <v>354587721</v>
      </c>
      <c r="R35" s="3">
        <v>431405077</v>
      </c>
      <c r="S35" s="3">
        <v>380502650</v>
      </c>
      <c r="T35" s="3">
        <v>326203461.18000007</v>
      </c>
      <c r="U35" s="3">
        <v>338057989.05000007</v>
      </c>
      <c r="V35" s="3">
        <v>280529356.92000002</v>
      </c>
      <c r="W35" s="3">
        <v>287590651.63999993</v>
      </c>
      <c r="X35" s="3">
        <v>245582200</v>
      </c>
      <c r="Y35" s="3">
        <v>256392743</v>
      </c>
      <c r="Z35" s="3">
        <v>272392088</v>
      </c>
      <c r="AA35" s="68">
        <v>272638277.97000003</v>
      </c>
      <c r="AB35" s="3">
        <v>259555056.97</v>
      </c>
      <c r="AC35" s="3">
        <v>251621975.72999999</v>
      </c>
      <c r="AD35" s="3">
        <v>253391276.69</v>
      </c>
      <c r="AE35" s="3">
        <v>267566462.75</v>
      </c>
      <c r="AF35" s="3">
        <v>264416792.44</v>
      </c>
      <c r="AG35" s="3">
        <v>280433585.29000002</v>
      </c>
      <c r="AH35" s="3">
        <v>350960453.80000001</v>
      </c>
      <c r="AI35" s="3">
        <v>359272519.54000002</v>
      </c>
      <c r="AJ35" s="3">
        <v>386830412.45999998</v>
      </c>
      <c r="AK35" s="3">
        <v>383481927.19999999</v>
      </c>
      <c r="AL35" s="3">
        <v>387211508.57999998</v>
      </c>
      <c r="AM35" s="68">
        <v>360609000</v>
      </c>
      <c r="AN35" s="197"/>
      <c r="AO35" s="197"/>
      <c r="AP35" s="197"/>
      <c r="AQ35" s="68">
        <v>568416934</v>
      </c>
      <c r="AR35" s="68">
        <v>848210172</v>
      </c>
      <c r="AS35" s="3">
        <v>866500000</v>
      </c>
      <c r="AT35" s="3">
        <v>1148700000</v>
      </c>
      <c r="AV35" s="185"/>
      <c r="AW35" s="197">
        <v>370300000</v>
      </c>
    </row>
    <row r="36" spans="1:49" x14ac:dyDescent="0.25">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86"/>
      <c r="AO36" s="186"/>
      <c r="AP36" s="186"/>
      <c r="AQ36" s="11"/>
      <c r="AR36" s="11"/>
      <c r="AS36" s="11"/>
      <c r="AT36" s="11"/>
      <c r="AU36" s="186"/>
      <c r="AV36" s="186"/>
      <c r="AW36" s="186"/>
    </row>
    <row r="37" spans="1:49" x14ac:dyDescent="0.25">
      <c r="A37" s="4" t="s">
        <v>13</v>
      </c>
      <c r="B37" s="3"/>
      <c r="C37" s="3"/>
      <c r="D37" s="3"/>
      <c r="E37" s="3"/>
      <c r="F37" s="3"/>
      <c r="G37" s="3"/>
      <c r="H37" s="3"/>
      <c r="I37" s="3"/>
      <c r="J37" s="3"/>
      <c r="K37" s="3"/>
      <c r="L37" s="3"/>
      <c r="M37" s="3"/>
      <c r="AM37" s="63"/>
      <c r="AN37" s="193"/>
      <c r="AO37" s="193"/>
      <c r="AP37" s="193"/>
      <c r="AQ37" s="63"/>
      <c r="AV37" s="185"/>
      <c r="AW37" s="193"/>
    </row>
    <row r="38" spans="1:49" s="180" customFormat="1" x14ac:dyDescent="0.25">
      <c r="A38" s="188" t="s">
        <v>480</v>
      </c>
      <c r="B38" s="182"/>
      <c r="C38" s="182"/>
      <c r="D38" s="182"/>
      <c r="E38" s="182"/>
      <c r="F38" s="182"/>
      <c r="G38" s="182"/>
      <c r="H38" s="182"/>
      <c r="I38" s="182"/>
      <c r="J38" s="182"/>
      <c r="K38" s="182"/>
      <c r="L38" s="182"/>
      <c r="M38" s="182"/>
      <c r="AA38" s="193"/>
      <c r="AM38" s="193">
        <v>57359000</v>
      </c>
      <c r="AN38" s="193"/>
      <c r="AO38" s="193"/>
      <c r="AP38" s="193"/>
      <c r="AQ38" s="193"/>
      <c r="AR38" s="193"/>
      <c r="AU38" s="192"/>
      <c r="AV38" s="185"/>
      <c r="AW38" s="193"/>
    </row>
    <row r="39" spans="1:49" s="9" customFormat="1" x14ac:dyDescent="0.25">
      <c r="A39" s="14" t="s">
        <v>481</v>
      </c>
      <c r="B39" s="9">
        <v>1391862.14</v>
      </c>
      <c r="C39" s="9">
        <v>1502336</v>
      </c>
      <c r="D39" s="9">
        <v>2500000</v>
      </c>
      <c r="E39" s="9">
        <v>2500000</v>
      </c>
      <c r="F39" s="9">
        <v>2564400</v>
      </c>
      <c r="G39" s="9">
        <v>2739000</v>
      </c>
      <c r="H39" s="12">
        <v>2892800</v>
      </c>
      <c r="I39" s="12">
        <v>4000000</v>
      </c>
      <c r="J39" s="12">
        <v>5500000</v>
      </c>
      <c r="K39" s="12">
        <v>5500000</v>
      </c>
      <c r="L39" s="12">
        <v>5500000</v>
      </c>
      <c r="M39" s="12">
        <v>5500000</v>
      </c>
      <c r="N39" s="12">
        <v>10396420</v>
      </c>
      <c r="O39" s="12">
        <v>16168765.800000001</v>
      </c>
      <c r="P39" s="12">
        <v>14631265.800000001</v>
      </c>
      <c r="Q39" s="9">
        <v>19747469</v>
      </c>
      <c r="R39" s="9">
        <v>23093290</v>
      </c>
      <c r="S39" s="9">
        <v>49393814</v>
      </c>
      <c r="T39" s="9">
        <v>48695900</v>
      </c>
      <c r="U39" s="9">
        <v>49494208.280000001</v>
      </c>
      <c r="V39" s="9">
        <v>24968550</v>
      </c>
      <c r="W39" s="9">
        <v>24986991</v>
      </c>
      <c r="X39" s="9">
        <v>25293350</v>
      </c>
      <c r="Y39" s="9">
        <v>25799900</v>
      </c>
      <c r="Z39" s="9">
        <v>25478150</v>
      </c>
      <c r="AA39" s="67">
        <v>25484550</v>
      </c>
      <c r="AB39" s="9">
        <v>25484550</v>
      </c>
      <c r="AC39" s="9">
        <v>24463300</v>
      </c>
      <c r="AD39" s="9">
        <v>24463300</v>
      </c>
      <c r="AE39" s="9">
        <v>24463300</v>
      </c>
      <c r="AF39" s="9">
        <v>24463300</v>
      </c>
      <c r="AG39" s="9">
        <v>24463300</v>
      </c>
      <c r="AH39" s="9">
        <v>24463300</v>
      </c>
      <c r="AI39" s="9">
        <v>24663300</v>
      </c>
      <c r="AJ39" s="9">
        <v>27163300</v>
      </c>
      <c r="AK39" s="9">
        <v>29573300</v>
      </c>
      <c r="AL39" s="9">
        <v>30427900</v>
      </c>
      <c r="AM39" s="67"/>
      <c r="AN39" s="196"/>
      <c r="AO39" s="196"/>
      <c r="AP39" s="196"/>
      <c r="AQ39" s="67"/>
      <c r="AR39" s="67">
        <v>33414400</v>
      </c>
      <c r="AU39" s="35" t="s">
        <v>406</v>
      </c>
      <c r="AV39" s="185"/>
      <c r="AW39" s="196">
        <v>28900000</v>
      </c>
    </row>
    <row r="40" spans="1:49" s="9" customFormat="1" x14ac:dyDescent="0.25">
      <c r="A40" s="14" t="s">
        <v>482</v>
      </c>
      <c r="C40" s="166"/>
      <c r="H40" s="12"/>
      <c r="I40" s="12"/>
      <c r="J40" s="12"/>
      <c r="K40" s="12"/>
      <c r="L40" s="12"/>
      <c r="M40" s="12"/>
      <c r="N40" s="12"/>
      <c r="O40" s="12"/>
      <c r="P40" s="12"/>
      <c r="AA40" s="67"/>
      <c r="AM40" s="67"/>
      <c r="AN40" s="196"/>
      <c r="AO40" s="196"/>
      <c r="AP40" s="196"/>
      <c r="AQ40" s="67">
        <v>6349506</v>
      </c>
      <c r="AR40" s="67">
        <v>18537045</v>
      </c>
      <c r="AU40" s="35"/>
      <c r="AV40" s="185"/>
      <c r="AW40" s="196">
        <v>28400000</v>
      </c>
    </row>
    <row r="41" spans="1:49" s="9" customFormat="1" x14ac:dyDescent="0.25">
      <c r="A41" s="14" t="s">
        <v>483</v>
      </c>
      <c r="C41" s="166">
        <v>1214755</v>
      </c>
      <c r="H41" s="12"/>
      <c r="I41" s="12"/>
      <c r="J41" s="12"/>
      <c r="K41" s="12"/>
      <c r="L41" s="12"/>
      <c r="M41" s="12"/>
      <c r="N41" s="12"/>
      <c r="O41" s="12"/>
      <c r="P41" s="12"/>
      <c r="AA41" s="67"/>
      <c r="AM41" s="67"/>
      <c r="AN41" s="196"/>
      <c r="AO41" s="196"/>
      <c r="AP41" s="196"/>
      <c r="AQ41" s="67"/>
      <c r="AR41" s="67"/>
      <c r="AU41" s="35"/>
      <c r="AV41" s="185"/>
      <c r="AW41" s="196"/>
    </row>
    <row r="42" spans="1:49" s="9" customFormat="1" x14ac:dyDescent="0.25">
      <c r="A42" s="14" t="s">
        <v>484</v>
      </c>
      <c r="H42" s="12"/>
      <c r="I42" s="12"/>
      <c r="J42" s="12"/>
      <c r="K42" s="12"/>
      <c r="L42" s="12"/>
      <c r="M42" s="12"/>
      <c r="N42" s="12"/>
      <c r="O42" s="12"/>
      <c r="P42" s="12"/>
      <c r="AA42" s="67"/>
      <c r="AB42" s="9">
        <v>8618267.3699999992</v>
      </c>
      <c r="AC42" s="9">
        <v>8838864.4199999999</v>
      </c>
      <c r="AD42" s="9">
        <v>8879410.9499999993</v>
      </c>
      <c r="AE42" s="9">
        <v>9909149.2100000009</v>
      </c>
      <c r="AF42" s="9">
        <v>10936109.699999999</v>
      </c>
      <c r="AG42" s="9">
        <v>11864251.720000001</v>
      </c>
      <c r="AH42" s="9">
        <v>12873827.810000001</v>
      </c>
      <c r="AI42" s="9">
        <v>14123047.890000001</v>
      </c>
      <c r="AJ42" s="9">
        <v>14369569.01</v>
      </c>
      <c r="AK42" s="9">
        <v>14476995.189999999</v>
      </c>
      <c r="AL42" s="9">
        <v>14530476.98</v>
      </c>
      <c r="AM42" s="67"/>
      <c r="AN42" s="196"/>
      <c r="AO42" s="196"/>
      <c r="AP42" s="196"/>
      <c r="AQ42" s="67"/>
      <c r="AR42" s="67"/>
      <c r="AU42" s="35"/>
      <c r="AV42" s="185"/>
      <c r="AW42" s="196"/>
    </row>
    <row r="43" spans="1:49" s="9" customFormat="1" x14ac:dyDescent="0.25">
      <c r="A43" s="14" t="s">
        <v>485</v>
      </c>
      <c r="B43" s="9">
        <v>1365082.3</v>
      </c>
      <c r="D43" s="9">
        <v>2425267.52</v>
      </c>
      <c r="E43" s="9">
        <v>2573836.16</v>
      </c>
      <c r="F43" s="9">
        <v>2351481.7799999998</v>
      </c>
      <c r="G43" s="9">
        <v>1654279.67</v>
      </c>
      <c r="H43" s="12">
        <v>1644059.86</v>
      </c>
      <c r="I43" s="12">
        <v>2310506.31</v>
      </c>
      <c r="J43" s="12">
        <v>2317902.6</v>
      </c>
      <c r="K43" s="12">
        <v>3014274.28</v>
      </c>
      <c r="L43" s="12">
        <v>2404016.16</v>
      </c>
      <c r="M43" s="12">
        <v>2881671.64</v>
      </c>
      <c r="N43" s="12">
        <v>1930321.28</v>
      </c>
      <c r="O43" s="12">
        <v>4121763.66</v>
      </c>
      <c r="P43" s="12">
        <v>7558961.7300000004</v>
      </c>
      <c r="Q43" s="9">
        <v>8215710</v>
      </c>
      <c r="R43" s="9">
        <v>12151753</v>
      </c>
      <c r="S43" s="9">
        <v>12007373</v>
      </c>
      <c r="T43" s="9">
        <v>5119795.17</v>
      </c>
      <c r="U43" s="9">
        <v>3318649.88</v>
      </c>
      <c r="V43" s="9">
        <v>4980741.25</v>
      </c>
      <c r="W43" s="9">
        <v>7836447.8300000001</v>
      </c>
      <c r="X43" s="9">
        <v>8601763</v>
      </c>
      <c r="Y43" s="9">
        <v>18414578</v>
      </c>
      <c r="Z43" s="9">
        <v>6142132</v>
      </c>
      <c r="AA43" s="67">
        <v>7575189.46</v>
      </c>
      <c r="AB43" s="9">
        <v>5566728.5099999998</v>
      </c>
      <c r="AC43" s="9">
        <v>6870782.2699999996</v>
      </c>
      <c r="AD43" s="9">
        <v>8809163.6199999992</v>
      </c>
      <c r="AE43" s="9">
        <v>9720447.9900000002</v>
      </c>
      <c r="AF43" s="9">
        <v>9470970.4700000007</v>
      </c>
      <c r="AG43" s="9">
        <v>9451849.2699999996</v>
      </c>
      <c r="AH43" s="9">
        <v>9513473.9800000004</v>
      </c>
      <c r="AI43" s="9">
        <v>8613409.2200000007</v>
      </c>
      <c r="AJ43" s="9">
        <v>9171037.9600000009</v>
      </c>
      <c r="AK43" s="9">
        <v>9998645.8499999996</v>
      </c>
      <c r="AL43" s="9">
        <v>10354400.140000001</v>
      </c>
      <c r="AM43" s="67"/>
      <c r="AN43" s="196"/>
      <c r="AO43" s="196"/>
      <c r="AP43" s="196"/>
      <c r="AQ43" s="67"/>
      <c r="AR43" s="67"/>
      <c r="AU43" s="35"/>
      <c r="AV43" s="185"/>
      <c r="AW43" s="196"/>
    </row>
    <row r="44" spans="1:49" s="9" customFormat="1" x14ac:dyDescent="0.25">
      <c r="A44" s="14" t="s">
        <v>486</v>
      </c>
      <c r="B44" s="9">
        <v>175881.68</v>
      </c>
      <c r="C44" s="9">
        <v>97455</v>
      </c>
      <c r="D44" s="9">
        <v>1502.11</v>
      </c>
      <c r="E44" s="9">
        <v>275596.2</v>
      </c>
      <c r="F44" s="9">
        <v>0</v>
      </c>
      <c r="G44" s="9">
        <v>264000</v>
      </c>
      <c r="H44" s="12">
        <v>311500</v>
      </c>
      <c r="I44" s="12">
        <v>253650.01</v>
      </c>
      <c r="J44" s="12">
        <v>258700</v>
      </c>
      <c r="K44" s="12">
        <v>312800</v>
      </c>
      <c r="L44" s="12">
        <v>4898.2700000000004</v>
      </c>
      <c r="M44" s="12">
        <v>3848.7</v>
      </c>
      <c r="N44" s="12">
        <v>369336.73</v>
      </c>
      <c r="O44" s="12">
        <v>160042.9</v>
      </c>
      <c r="P44" s="12">
        <v>247090.12</v>
      </c>
      <c r="Q44" s="9">
        <v>4573064</v>
      </c>
      <c r="R44" s="9">
        <v>5334933</v>
      </c>
      <c r="S44" s="9">
        <v>477326</v>
      </c>
      <c r="T44" s="9">
        <v>38566.86</v>
      </c>
      <c r="U44" s="9">
        <v>30912.29</v>
      </c>
      <c r="V44" s="9">
        <v>805399.15</v>
      </c>
      <c r="W44" s="9">
        <v>2425687.42</v>
      </c>
      <c r="X44" s="9">
        <v>3535618</v>
      </c>
      <c r="Y44" s="9">
        <v>342855</v>
      </c>
      <c r="Z44" s="9">
        <v>6737509</v>
      </c>
      <c r="AA44" s="67">
        <v>7263722.7199999997</v>
      </c>
      <c r="AB44" s="9">
        <v>763180.74</v>
      </c>
      <c r="AC44" s="9">
        <v>855740.81</v>
      </c>
      <c r="AD44" s="9">
        <v>835401.88</v>
      </c>
      <c r="AE44" s="9">
        <v>926310.29</v>
      </c>
      <c r="AF44" s="9">
        <v>1099690.1100000001</v>
      </c>
      <c r="AG44" s="9">
        <v>1116172.3</v>
      </c>
      <c r="AH44" s="9">
        <v>1287145.3</v>
      </c>
      <c r="AI44" s="9">
        <v>1521393.21</v>
      </c>
      <c r="AJ44" s="9">
        <v>2171812.9</v>
      </c>
      <c r="AK44" s="9">
        <v>1905255.98</v>
      </c>
      <c r="AL44" s="9">
        <v>2026265.22</v>
      </c>
      <c r="AM44" s="67"/>
      <c r="AN44" s="196"/>
      <c r="AO44" s="196"/>
      <c r="AP44" s="196"/>
      <c r="AQ44" s="67"/>
      <c r="AR44" s="67"/>
      <c r="AU44" s="35"/>
      <c r="AV44" s="185"/>
      <c r="AW44" s="196"/>
    </row>
    <row r="45" spans="1:49" s="9" customFormat="1" x14ac:dyDescent="0.25">
      <c r="A45" s="14" t="s">
        <v>14</v>
      </c>
      <c r="B45" s="9">
        <v>855367.5</v>
      </c>
      <c r="C45" s="9">
        <v>784287</v>
      </c>
      <c r="D45" s="9">
        <v>1500000</v>
      </c>
      <c r="E45" s="9">
        <v>1459265</v>
      </c>
      <c r="F45" s="9">
        <v>1565295</v>
      </c>
      <c r="G45" s="9">
        <v>1798766.5</v>
      </c>
      <c r="H45" s="12">
        <v>2038772.12</v>
      </c>
      <c r="I45" s="12">
        <v>3300348.76</v>
      </c>
      <c r="J45" s="12">
        <v>5381877.5</v>
      </c>
      <c r="K45" s="12">
        <v>5433519.7999999998</v>
      </c>
      <c r="L45" s="12">
        <v>5404871.8099999996</v>
      </c>
      <c r="M45" s="12">
        <v>5304135</v>
      </c>
      <c r="N45" s="12">
        <v>5841327.5</v>
      </c>
      <c r="O45" s="12">
        <v>10137357.5</v>
      </c>
      <c r="P45" s="12">
        <v>11736652.5</v>
      </c>
      <c r="Q45" s="9">
        <v>23015706</v>
      </c>
      <c r="R45" s="9">
        <v>33368942</v>
      </c>
      <c r="S45" s="9">
        <v>42237752</v>
      </c>
      <c r="T45" s="9">
        <v>41391580.200000003</v>
      </c>
      <c r="U45" s="9">
        <v>41329056.700000003</v>
      </c>
      <c r="V45" s="9">
        <v>41304059.200000003</v>
      </c>
      <c r="W45" s="9">
        <v>39853484.200000003</v>
      </c>
      <c r="X45" s="9">
        <v>36201683</v>
      </c>
      <c r="Y45" s="9">
        <v>30867699</v>
      </c>
      <c r="Z45" s="9">
        <v>24017003</v>
      </c>
      <c r="AA45" s="67">
        <v>18989753.899999999</v>
      </c>
      <c r="AB45" s="9">
        <v>16957389.899999999</v>
      </c>
      <c r="AC45" s="9">
        <v>15214676.1</v>
      </c>
      <c r="AD45" s="9">
        <v>16319283.199999999</v>
      </c>
      <c r="AE45" s="9">
        <v>15586743</v>
      </c>
      <c r="AF45" s="9">
        <v>14326137</v>
      </c>
      <c r="AG45" s="9">
        <v>11469845</v>
      </c>
      <c r="AH45" s="9">
        <v>11557156</v>
      </c>
      <c r="AI45" s="9">
        <v>11734568</v>
      </c>
      <c r="AJ45" s="9">
        <v>2558755</v>
      </c>
      <c r="AK45" s="9">
        <v>1879145</v>
      </c>
      <c r="AL45" s="9">
        <v>1624645</v>
      </c>
      <c r="AM45" s="67">
        <v>1399000</v>
      </c>
      <c r="AN45" s="196"/>
      <c r="AO45" s="196"/>
      <c r="AP45" s="196"/>
      <c r="AQ45" s="67"/>
      <c r="AR45" s="67"/>
      <c r="AU45" s="35"/>
      <c r="AV45" s="185"/>
      <c r="AW45" s="196">
        <v>1300000</v>
      </c>
    </row>
    <row r="46" spans="1:49" s="9" customFormat="1" x14ac:dyDescent="0.25">
      <c r="A46" s="14" t="s">
        <v>157</v>
      </c>
      <c r="B46" s="9">
        <v>771661.11</v>
      </c>
      <c r="C46" s="9">
        <v>291267</v>
      </c>
      <c r="D46" s="9">
        <v>314940.03000000003</v>
      </c>
      <c r="E46" s="9">
        <v>184070.33</v>
      </c>
      <c r="F46" s="9">
        <v>324577.49</v>
      </c>
      <c r="G46" s="9">
        <v>256208.8</v>
      </c>
      <c r="H46" s="12">
        <v>277054.15999999997</v>
      </c>
      <c r="I46" s="12">
        <v>538388.09</v>
      </c>
      <c r="J46" s="12">
        <v>667565.37</v>
      </c>
      <c r="K46" s="12">
        <v>559331.27</v>
      </c>
      <c r="L46" s="12">
        <v>431938.65</v>
      </c>
      <c r="M46" s="12">
        <v>497317.58</v>
      </c>
      <c r="N46" s="12">
        <v>1725766.44</v>
      </c>
      <c r="O46" s="12">
        <v>4376273.4000000004</v>
      </c>
      <c r="P46" s="12">
        <v>0</v>
      </c>
      <c r="Q46" s="9">
        <v>6390120</v>
      </c>
      <c r="R46" s="9">
        <v>4630628</v>
      </c>
      <c r="S46" s="9">
        <v>2291346</v>
      </c>
      <c r="T46" s="9">
        <v>2091165.95</v>
      </c>
      <c r="U46" s="9">
        <v>2360933.73</v>
      </c>
      <c r="V46" s="9">
        <v>21490822.93</v>
      </c>
      <c r="W46" s="9">
        <v>1801458.9</v>
      </c>
      <c r="X46" s="9">
        <v>1886142</v>
      </c>
      <c r="Y46" s="9">
        <v>4451104</v>
      </c>
      <c r="Z46" s="9">
        <v>5417919</v>
      </c>
      <c r="AA46" s="67">
        <v>3921985.64</v>
      </c>
      <c r="AB46" s="9">
        <v>40287042.600000001</v>
      </c>
      <c r="AC46" s="9">
        <v>39452239.920000002</v>
      </c>
      <c r="AD46" s="9">
        <v>30862417.32</v>
      </c>
      <c r="AE46" s="9">
        <v>26406776.23</v>
      </c>
      <c r="AF46" s="9">
        <v>28444944.219999999</v>
      </c>
      <c r="AG46" s="9">
        <v>25129965.370000001</v>
      </c>
      <c r="AH46" s="9">
        <v>36865383.189999998</v>
      </c>
      <c r="AI46" s="9">
        <v>45596910.329999998</v>
      </c>
      <c r="AJ46" s="9">
        <v>57879443.130000003</v>
      </c>
      <c r="AK46" s="9">
        <v>58500192.770000003</v>
      </c>
      <c r="AL46" s="9">
        <v>67890980.260000005</v>
      </c>
      <c r="AM46" s="67">
        <v>11033000</v>
      </c>
      <c r="AN46" s="196"/>
      <c r="AO46" s="196"/>
      <c r="AP46" s="196"/>
      <c r="AQ46" s="67">
        <v>1403941</v>
      </c>
      <c r="AR46" s="67">
        <v>2777189</v>
      </c>
      <c r="AU46" s="35"/>
      <c r="AV46" s="185"/>
      <c r="AW46" s="196">
        <v>1600000</v>
      </c>
    </row>
    <row r="47" spans="1:49" s="9" customFormat="1" x14ac:dyDescent="0.25">
      <c r="A47" s="14" t="s">
        <v>387</v>
      </c>
      <c r="B47" s="9">
        <v>319119.13</v>
      </c>
      <c r="C47" s="9">
        <v>338592</v>
      </c>
      <c r="D47" s="9">
        <v>60433.61</v>
      </c>
      <c r="E47" s="9">
        <v>69597.72</v>
      </c>
      <c r="F47" s="9">
        <v>574789.38</v>
      </c>
      <c r="G47" s="9">
        <v>245441.29</v>
      </c>
      <c r="H47" s="12">
        <v>162474.26999999999</v>
      </c>
      <c r="I47" s="12">
        <v>110002.83</v>
      </c>
      <c r="J47" s="12">
        <v>176744.27</v>
      </c>
      <c r="K47" s="12">
        <v>73647.199999999997</v>
      </c>
      <c r="L47" s="12">
        <v>76442.11</v>
      </c>
      <c r="M47" s="12">
        <v>357084.77</v>
      </c>
      <c r="N47" s="12">
        <v>429508.01</v>
      </c>
      <c r="O47" s="12">
        <v>2167407.2999999998</v>
      </c>
      <c r="P47" s="12">
        <v>6930135.2699999996</v>
      </c>
      <c r="Q47" s="9">
        <v>3584297</v>
      </c>
      <c r="R47" s="9">
        <v>10602445</v>
      </c>
      <c r="S47" s="9">
        <v>4916581</v>
      </c>
      <c r="T47" s="9">
        <v>2823687.96</v>
      </c>
      <c r="U47" s="9">
        <v>1673117.32</v>
      </c>
      <c r="W47" s="9">
        <v>0</v>
      </c>
      <c r="X47" s="9">
        <v>0</v>
      </c>
      <c r="Y47" s="9">
        <v>0</v>
      </c>
      <c r="Z47" s="9">
        <v>0</v>
      </c>
      <c r="AA47" s="67"/>
      <c r="AB47" s="9">
        <v>0</v>
      </c>
      <c r="AC47" s="9">
        <v>0</v>
      </c>
      <c r="AD47" s="9">
        <v>0</v>
      </c>
      <c r="AE47" s="9">
        <v>0</v>
      </c>
      <c r="AF47" s="9">
        <v>0</v>
      </c>
      <c r="AG47" s="9">
        <v>0</v>
      </c>
      <c r="AH47" s="9">
        <v>0</v>
      </c>
      <c r="AI47" s="9">
        <v>0</v>
      </c>
      <c r="AJ47" s="9">
        <v>0</v>
      </c>
      <c r="AK47" s="9">
        <v>0</v>
      </c>
      <c r="AL47" s="9">
        <v>0</v>
      </c>
      <c r="AM47" s="67">
        <v>34944000</v>
      </c>
      <c r="AN47" s="196"/>
      <c r="AO47" s="196"/>
      <c r="AP47" s="196"/>
      <c r="AQ47" s="67">
        <v>10881824</v>
      </c>
      <c r="AR47" s="67">
        <v>7453810</v>
      </c>
      <c r="AU47" s="35"/>
      <c r="AV47" s="185"/>
      <c r="AW47" s="196">
        <v>35100000</v>
      </c>
    </row>
    <row r="48" spans="1:49" s="9" customFormat="1" x14ac:dyDescent="0.25">
      <c r="A48" s="14" t="s">
        <v>398</v>
      </c>
      <c r="H48" s="12"/>
      <c r="I48" s="12"/>
      <c r="J48" s="12"/>
      <c r="K48" s="12"/>
      <c r="L48" s="12"/>
      <c r="M48" s="12"/>
      <c r="N48" s="12"/>
      <c r="O48" s="12"/>
      <c r="P48" s="12"/>
      <c r="AA48" s="67"/>
      <c r="AM48" s="196">
        <v>10544000</v>
      </c>
      <c r="AN48" s="196"/>
      <c r="AO48" s="196"/>
      <c r="AP48" s="196"/>
      <c r="AQ48" s="67"/>
      <c r="AR48" s="67"/>
      <c r="AU48" s="35"/>
      <c r="AV48" s="185"/>
      <c r="AW48" s="196">
        <v>11200000</v>
      </c>
    </row>
    <row r="49" spans="1:49" s="9" customFormat="1" x14ac:dyDescent="0.25">
      <c r="A49" s="14" t="s">
        <v>379</v>
      </c>
      <c r="B49" s="9">
        <v>10913110.43</v>
      </c>
      <c r="C49" s="9">
        <v>7900605</v>
      </c>
      <c r="D49" s="9">
        <v>9467444.3800000008</v>
      </c>
      <c r="E49" s="9">
        <v>9079617.7599999998</v>
      </c>
      <c r="F49" s="9">
        <v>6930157.6699999999</v>
      </c>
      <c r="G49" s="9">
        <v>6312761.1200000001</v>
      </c>
      <c r="H49" s="12">
        <v>10857477.76</v>
      </c>
      <c r="I49" s="12">
        <v>11179611.42</v>
      </c>
      <c r="J49" s="12">
        <v>23526541.539999999</v>
      </c>
      <c r="K49" s="12">
        <v>21828754.329999998</v>
      </c>
      <c r="L49" s="12">
        <v>19726000.23</v>
      </c>
      <c r="M49" s="12">
        <v>20832492.760000002</v>
      </c>
      <c r="N49" s="12">
        <v>12461940.859999999</v>
      </c>
      <c r="O49" s="12">
        <v>37401549.719999999</v>
      </c>
      <c r="P49" s="12">
        <v>34841976.939999998</v>
      </c>
      <c r="Q49" s="9">
        <v>64427847</v>
      </c>
      <c r="R49" s="9">
        <v>102758668</v>
      </c>
      <c r="S49" s="9">
        <v>90812907</v>
      </c>
      <c r="T49" s="9">
        <v>69386521.230000004</v>
      </c>
      <c r="U49" s="9">
        <v>72419108.969999999</v>
      </c>
      <c r="V49" s="9">
        <v>27263390.140000001</v>
      </c>
      <c r="W49" s="9">
        <v>50884738.049999997</v>
      </c>
      <c r="X49" s="9">
        <v>22277538</v>
      </c>
      <c r="Y49" s="9">
        <v>21476036</v>
      </c>
      <c r="Z49" s="9">
        <v>27386495</v>
      </c>
      <c r="AA49" s="67">
        <v>49945794.32</v>
      </c>
      <c r="AB49" s="9">
        <v>0</v>
      </c>
      <c r="AC49" s="9">
        <v>0</v>
      </c>
      <c r="AD49" s="9">
        <v>0</v>
      </c>
      <c r="AE49" s="9">
        <v>0</v>
      </c>
      <c r="AF49" s="9">
        <v>0</v>
      </c>
      <c r="AG49" s="9">
        <v>0</v>
      </c>
      <c r="AH49" s="9">
        <v>0</v>
      </c>
      <c r="AI49" s="9">
        <v>0</v>
      </c>
      <c r="AJ49" s="9">
        <v>0</v>
      </c>
      <c r="AK49" s="9">
        <v>0</v>
      </c>
      <c r="AL49" s="9">
        <v>0</v>
      </c>
      <c r="AM49" s="67"/>
      <c r="AN49" s="196"/>
      <c r="AO49" s="196"/>
      <c r="AP49" s="196"/>
      <c r="AQ49" s="67">
        <v>39607681</v>
      </c>
      <c r="AR49" s="67">
        <v>49341787</v>
      </c>
      <c r="AU49" s="35"/>
      <c r="AV49" s="185"/>
      <c r="AW49" s="196"/>
    </row>
    <row r="50" spans="1:49" s="9" customFormat="1" x14ac:dyDescent="0.25">
      <c r="A50" s="14" t="s">
        <v>195</v>
      </c>
      <c r="H50" s="12"/>
      <c r="I50" s="12"/>
      <c r="J50" s="12"/>
      <c r="K50" s="12"/>
      <c r="L50" s="12"/>
      <c r="M50" s="12"/>
      <c r="N50" s="12"/>
      <c r="O50" s="12"/>
      <c r="P50" s="12"/>
      <c r="AA50" s="67"/>
      <c r="AM50" s="67"/>
      <c r="AN50" s="196"/>
      <c r="AO50" s="196"/>
      <c r="AP50" s="196"/>
      <c r="AQ50" s="67">
        <v>37523143</v>
      </c>
      <c r="AR50" s="67">
        <v>34000000</v>
      </c>
      <c r="AU50" s="35"/>
      <c r="AV50" s="185"/>
      <c r="AW50" s="196">
        <v>23500000</v>
      </c>
    </row>
    <row r="51" spans="1:49" s="9" customFormat="1" x14ac:dyDescent="0.25">
      <c r="A51" s="14" t="s">
        <v>15</v>
      </c>
      <c r="B51" s="9">
        <v>34300</v>
      </c>
      <c r="C51" s="9">
        <v>37950</v>
      </c>
      <c r="D51" s="9">
        <v>67330.539999999994</v>
      </c>
      <c r="E51" s="9">
        <v>66514.539999999994</v>
      </c>
      <c r="F51" s="9">
        <v>67043.5</v>
      </c>
      <c r="G51" s="9">
        <v>63944.5</v>
      </c>
      <c r="H51" s="12">
        <v>96449.5</v>
      </c>
      <c r="I51" s="12">
        <v>151659.5</v>
      </c>
      <c r="J51" s="12">
        <v>1635.5</v>
      </c>
      <c r="K51" s="12">
        <v>227420.5</v>
      </c>
      <c r="L51" s="12">
        <v>226905.5</v>
      </c>
      <c r="M51" s="12">
        <v>226655.5</v>
      </c>
      <c r="N51" s="12">
        <v>316265.5</v>
      </c>
      <c r="O51" s="12">
        <v>786165.4</v>
      </c>
      <c r="P51" s="12">
        <v>719250.66</v>
      </c>
      <c r="Q51" s="9">
        <v>1236732</v>
      </c>
      <c r="R51" s="9">
        <v>1444989</v>
      </c>
      <c r="S51" s="9">
        <v>103160</v>
      </c>
      <c r="T51" s="9">
        <v>2683.03</v>
      </c>
      <c r="U51" s="9">
        <v>205183.03</v>
      </c>
      <c r="V51" s="9">
        <v>917.5</v>
      </c>
      <c r="W51" s="9">
        <v>749.5</v>
      </c>
      <c r="X51" s="9">
        <v>1589</v>
      </c>
      <c r="Y51" s="9">
        <v>272037</v>
      </c>
      <c r="Z51" s="9">
        <v>337744</v>
      </c>
      <c r="AA51" s="67">
        <v>338343.5</v>
      </c>
      <c r="AB51" s="9">
        <v>2605</v>
      </c>
      <c r="AC51" s="9">
        <v>465.5</v>
      </c>
      <c r="AD51" s="9">
        <v>448</v>
      </c>
      <c r="AE51" s="9">
        <v>857243.19</v>
      </c>
      <c r="AF51" s="9">
        <v>136389</v>
      </c>
      <c r="AG51" s="9">
        <v>171109</v>
      </c>
      <c r="AH51" s="9">
        <v>204614</v>
      </c>
      <c r="AI51" s="9">
        <v>272606</v>
      </c>
      <c r="AJ51" s="9">
        <v>272927</v>
      </c>
      <c r="AK51" s="9">
        <v>239805</v>
      </c>
      <c r="AL51" s="9">
        <v>239512</v>
      </c>
      <c r="AM51" s="67"/>
      <c r="AN51" s="196"/>
      <c r="AO51" s="196"/>
      <c r="AP51" s="196"/>
      <c r="AQ51" s="67"/>
      <c r="AR51" s="67"/>
      <c r="AU51" s="35"/>
      <c r="AV51" s="185"/>
      <c r="AW51" s="196"/>
    </row>
    <row r="52" spans="1:49" s="9" customFormat="1" x14ac:dyDescent="0.25">
      <c r="A52" s="14" t="s">
        <v>399</v>
      </c>
      <c r="B52" s="9">
        <v>6262465.4400000004</v>
      </c>
      <c r="H52" s="12"/>
      <c r="I52" s="12"/>
      <c r="J52" s="12"/>
      <c r="K52" s="12"/>
      <c r="L52" s="12"/>
      <c r="M52" s="12"/>
      <c r="N52" s="12"/>
      <c r="O52" s="12"/>
      <c r="P52" s="12"/>
      <c r="AA52" s="67"/>
      <c r="AM52" s="67">
        <v>223267000</v>
      </c>
      <c r="AN52" s="196"/>
      <c r="AO52" s="196"/>
      <c r="AP52" s="196"/>
      <c r="AQ52" s="67"/>
      <c r="AR52" s="67"/>
      <c r="AU52" s="35"/>
      <c r="AV52" s="185"/>
      <c r="AW52" s="196"/>
    </row>
    <row r="53" spans="1:49" s="9" customFormat="1" x14ac:dyDescent="0.25">
      <c r="A53" s="14" t="s">
        <v>400</v>
      </c>
      <c r="D53" s="9">
        <v>21131.9</v>
      </c>
      <c r="E53" s="9">
        <v>283872.65999999997</v>
      </c>
      <c r="F53" s="9">
        <v>298239.92</v>
      </c>
      <c r="G53" s="9">
        <v>145006.5</v>
      </c>
      <c r="H53" s="12">
        <v>189638.42</v>
      </c>
      <c r="I53" s="12">
        <v>119358.27</v>
      </c>
      <c r="J53" s="12">
        <v>182309.85</v>
      </c>
      <c r="K53" s="12">
        <v>112995.89</v>
      </c>
      <c r="L53" s="12">
        <v>90863.7</v>
      </c>
      <c r="M53" s="12">
        <v>83364.95</v>
      </c>
      <c r="N53" s="12">
        <v>326664.2</v>
      </c>
      <c r="O53" s="12">
        <v>60326.05</v>
      </c>
      <c r="P53" s="12">
        <v>216357.55</v>
      </c>
      <c r="Q53" s="9">
        <v>76166918</v>
      </c>
      <c r="R53" s="9">
        <v>100912437</v>
      </c>
      <c r="S53" s="9">
        <v>428875</v>
      </c>
      <c r="T53" s="9">
        <v>6092342.0999999996</v>
      </c>
      <c r="U53" s="9">
        <v>16490267.550000001</v>
      </c>
      <c r="V53" s="9">
        <v>71483766.359999999</v>
      </c>
      <c r="W53" s="9">
        <v>79152566.310000002</v>
      </c>
      <c r="X53" s="9">
        <v>76872945</v>
      </c>
      <c r="Y53" s="9">
        <v>66772496</v>
      </c>
      <c r="Z53" s="9">
        <v>69078633</v>
      </c>
      <c r="AA53" s="67">
        <v>60492788.920000002</v>
      </c>
      <c r="AB53" s="9">
        <f>42356372.81+35724306.34</f>
        <v>78080679.150000006</v>
      </c>
      <c r="AC53" s="9">
        <f>42105764.77+33741348.57</f>
        <v>75847113.340000004</v>
      </c>
      <c r="AD53" s="9">
        <f>44311286.68+35961981.78</f>
        <v>80273268.460000008</v>
      </c>
      <c r="AE53" s="9">
        <f>55385289.9+32969857.31</f>
        <v>88355147.209999993</v>
      </c>
      <c r="AF53" s="9">
        <f>49283078.66+30620377.65</f>
        <v>79903456.310000002</v>
      </c>
      <c r="AG53" s="9">
        <f>56633474.85+28371980.44</f>
        <v>85005455.290000007</v>
      </c>
      <c r="AH53" s="9">
        <f>98549109.71+38965669.93</f>
        <v>137514779.63999999</v>
      </c>
      <c r="AI53" s="9">
        <f>84254017.24+42809722.23</f>
        <v>127063739.47</v>
      </c>
      <c r="AJ53" s="9">
        <f>73387117.2+78025405.5</f>
        <v>151412522.69999999</v>
      </c>
      <c r="AK53" s="9">
        <f>76272433.09+62253223.69</f>
        <v>138525656.78</v>
      </c>
      <c r="AL53" s="9">
        <f>71481646.21+63262224.44</f>
        <v>134743870.64999998</v>
      </c>
      <c r="AM53" s="67"/>
      <c r="AN53" s="196"/>
      <c r="AO53" s="196"/>
      <c r="AP53" s="196"/>
      <c r="AQ53" s="67">
        <v>185716120</v>
      </c>
      <c r="AR53" s="67">
        <v>231460399</v>
      </c>
      <c r="AS53" s="9">
        <v>261000000</v>
      </c>
      <c r="AT53" s="9">
        <v>385800000</v>
      </c>
      <c r="AU53" s="35"/>
      <c r="AV53" s="185"/>
      <c r="AW53" s="196">
        <v>88500000</v>
      </c>
    </row>
    <row r="54" spans="1:49" s="9" customFormat="1" x14ac:dyDescent="0.25">
      <c r="A54" s="14" t="s">
        <v>144</v>
      </c>
      <c r="H54" s="12"/>
      <c r="I54" s="12"/>
      <c r="J54" s="12"/>
      <c r="K54" s="12"/>
      <c r="L54" s="12"/>
      <c r="M54" s="12"/>
      <c r="N54" s="12"/>
      <c r="O54" s="12"/>
      <c r="P54" s="12"/>
      <c r="AA54" s="67"/>
      <c r="AB54" s="9">
        <v>70050630.010000005</v>
      </c>
      <c r="AC54" s="9">
        <v>66553236.710000001</v>
      </c>
      <c r="AD54" s="9">
        <v>68726539.810000002</v>
      </c>
      <c r="AE54" s="9">
        <v>73995535.469999999</v>
      </c>
      <c r="AF54" s="9">
        <v>78941008.129999995</v>
      </c>
      <c r="AG54" s="9">
        <v>93822194.230000004</v>
      </c>
      <c r="AH54" s="9">
        <v>92011120.719999999</v>
      </c>
      <c r="AI54" s="9">
        <v>95063744.25</v>
      </c>
      <c r="AJ54" s="9">
        <v>84821714.480000004</v>
      </c>
      <c r="AK54" s="9">
        <v>94632594.439999998</v>
      </c>
      <c r="AL54" s="9">
        <v>93049322.730000004</v>
      </c>
      <c r="AM54" s="67"/>
      <c r="AN54" s="196"/>
      <c r="AO54" s="196"/>
      <c r="AP54" s="196"/>
      <c r="AQ54" s="67"/>
      <c r="AR54" s="67"/>
      <c r="AS54" s="9">
        <v>193000000</v>
      </c>
      <c r="AT54" s="9">
        <v>243000000</v>
      </c>
      <c r="AU54" s="35"/>
      <c r="AV54" s="185"/>
      <c r="AW54" s="196"/>
    </row>
    <row r="55" spans="1:49" s="9" customFormat="1" x14ac:dyDescent="0.25">
      <c r="A55" s="14" t="s">
        <v>149</v>
      </c>
      <c r="C55" s="9">
        <v>2081035</v>
      </c>
      <c r="D55" s="9">
        <v>3679975.74</v>
      </c>
      <c r="E55" s="9">
        <v>6078759.9400000004</v>
      </c>
      <c r="F55" s="9">
        <v>8568823.1300000008</v>
      </c>
      <c r="G55" s="9">
        <v>5573502.4900000002</v>
      </c>
      <c r="H55" s="12">
        <v>6311463.3099999996</v>
      </c>
      <c r="I55" s="12">
        <v>10349317.98</v>
      </c>
      <c r="J55" s="12">
        <v>10127432.5</v>
      </c>
      <c r="K55" s="12">
        <v>12015607.66</v>
      </c>
      <c r="L55" s="12">
        <v>11468664.289999999</v>
      </c>
      <c r="M55" s="12">
        <v>15042159.630000001</v>
      </c>
      <c r="N55" s="12">
        <v>52137881.740000002</v>
      </c>
      <c r="O55" s="12">
        <v>96751432.299999997</v>
      </c>
      <c r="P55" s="12">
        <v>29012308.170000002</v>
      </c>
      <c r="Q55" s="9">
        <v>34189315</v>
      </c>
      <c r="R55" s="9">
        <v>31751093</v>
      </c>
      <c r="S55" s="9">
        <v>26151621</v>
      </c>
      <c r="T55" s="9">
        <v>62063046.82</v>
      </c>
      <c r="U55" s="9">
        <v>59686711.82</v>
      </c>
      <c r="V55" s="9">
        <v>52290605.840000004</v>
      </c>
      <c r="W55" s="9">
        <v>33333896.829999998</v>
      </c>
      <c r="X55" s="9">
        <v>18995646</v>
      </c>
      <c r="Y55" s="9">
        <v>26548317</v>
      </c>
      <c r="Z55" s="9">
        <v>33035045</v>
      </c>
      <c r="AA55" s="67">
        <v>30723692.530000001</v>
      </c>
      <c r="AM55" s="67"/>
      <c r="AN55" s="196"/>
      <c r="AO55" s="196"/>
      <c r="AP55" s="196"/>
      <c r="AQ55" s="67">
        <v>7840001</v>
      </c>
      <c r="AR55" s="67">
        <v>10282933</v>
      </c>
      <c r="AU55" s="35"/>
      <c r="AV55" s="185"/>
      <c r="AW55" s="196">
        <v>20400000</v>
      </c>
    </row>
    <row r="56" spans="1:49" s="9" customFormat="1" x14ac:dyDescent="0.25">
      <c r="A56" s="14" t="s">
        <v>150</v>
      </c>
      <c r="D56" s="9">
        <v>0</v>
      </c>
      <c r="E56" s="9">
        <v>566596.04</v>
      </c>
      <c r="F56" s="9">
        <v>541078.51</v>
      </c>
      <c r="G56" s="9">
        <v>668071.28</v>
      </c>
      <c r="H56" s="12">
        <v>841128.69</v>
      </c>
      <c r="I56" s="12">
        <v>909746.97</v>
      </c>
      <c r="J56" s="12">
        <v>974522.25</v>
      </c>
      <c r="K56" s="12">
        <v>1098646.4099999999</v>
      </c>
      <c r="L56" s="12">
        <v>1275489.72</v>
      </c>
      <c r="M56" s="12">
        <v>1157386.1200000001</v>
      </c>
      <c r="N56" s="12">
        <v>4503170.71</v>
      </c>
      <c r="O56" s="12">
        <v>1591825.29</v>
      </c>
      <c r="P56" s="12">
        <v>10731514.32</v>
      </c>
      <c r="Q56" s="9">
        <v>8473466</v>
      </c>
      <c r="R56" s="9">
        <v>16716021</v>
      </c>
      <c r="S56" s="9">
        <v>16359041</v>
      </c>
      <c r="T56" s="9">
        <v>13296857.43</v>
      </c>
      <c r="U56" s="9">
        <v>13418730.82</v>
      </c>
      <c r="V56" s="9">
        <v>20104919.050000001</v>
      </c>
      <c r="W56" s="9">
        <v>35670904.869999997</v>
      </c>
      <c r="X56" s="9">
        <v>39726961</v>
      </c>
      <c r="Y56" s="9">
        <v>53655874</v>
      </c>
      <c r="Z56" s="9">
        <v>62554310</v>
      </c>
      <c r="AA56" s="67">
        <v>54986822.200000003</v>
      </c>
      <c r="AM56" s="67"/>
      <c r="AN56" s="196"/>
      <c r="AO56" s="196"/>
      <c r="AP56" s="196"/>
      <c r="AQ56" s="67">
        <v>74316485</v>
      </c>
      <c r="AR56" s="67">
        <v>125306507</v>
      </c>
      <c r="AU56" s="35"/>
      <c r="AV56" s="185"/>
      <c r="AW56" s="196">
        <v>57900000</v>
      </c>
    </row>
    <row r="57" spans="1:49" s="9" customFormat="1" x14ac:dyDescent="0.25">
      <c r="A57" s="14" t="s">
        <v>16</v>
      </c>
      <c r="C57" s="9">
        <v>4132172</v>
      </c>
      <c r="D57" s="9">
        <v>9310374.6699999999</v>
      </c>
      <c r="E57" s="9">
        <v>10252513.060000001</v>
      </c>
      <c r="F57" s="9">
        <v>9990304.0500000007</v>
      </c>
      <c r="G57" s="9">
        <v>14783381.33</v>
      </c>
      <c r="H57" s="12">
        <v>18191008.18</v>
      </c>
      <c r="I57" s="12">
        <v>14434010.49</v>
      </c>
      <c r="J57" s="12">
        <v>18704471.370000001</v>
      </c>
      <c r="K57" s="12">
        <v>15025675.380000001</v>
      </c>
      <c r="L57" s="12">
        <v>16600369.460000001</v>
      </c>
      <c r="M57" s="12">
        <v>15615968.789999999</v>
      </c>
      <c r="N57" s="12">
        <v>22798299.91</v>
      </c>
      <c r="O57" s="12">
        <v>41690374.890000001</v>
      </c>
      <c r="P57" s="12">
        <v>145985280.09</v>
      </c>
      <c r="Q57" s="9">
        <v>83378982</v>
      </c>
      <c r="R57" s="9">
        <v>48606033</v>
      </c>
      <c r="S57" s="9">
        <v>46582381</v>
      </c>
      <c r="T57" s="9">
        <v>52821970.009999998</v>
      </c>
      <c r="U57" s="9">
        <v>51744812.100000001</v>
      </c>
      <c r="AA57" s="67"/>
      <c r="AM57" s="67"/>
      <c r="AN57" s="196"/>
      <c r="AO57" s="196"/>
      <c r="AP57" s="196"/>
      <c r="AQ57" s="67"/>
      <c r="AR57" s="67"/>
      <c r="AU57" s="35"/>
      <c r="AV57" s="185"/>
      <c r="AW57" s="196"/>
    </row>
    <row r="58" spans="1:49" s="9" customFormat="1" x14ac:dyDescent="0.25">
      <c r="A58" s="14" t="s">
        <v>155</v>
      </c>
      <c r="B58" s="9">
        <v>1299895.68</v>
      </c>
      <c r="C58" s="9">
        <v>229460</v>
      </c>
      <c r="H58" s="12"/>
      <c r="I58" s="12"/>
      <c r="J58" s="12"/>
      <c r="K58" s="12"/>
      <c r="L58" s="12"/>
      <c r="M58" s="12"/>
      <c r="N58" s="12"/>
      <c r="O58" s="12"/>
      <c r="P58" s="12"/>
      <c r="AA58" s="67"/>
      <c r="AM58" s="67"/>
      <c r="AN58" s="196"/>
      <c r="AO58" s="196"/>
      <c r="AP58" s="196"/>
      <c r="AQ58" s="67">
        <v>78681225</v>
      </c>
      <c r="AR58" s="67">
        <v>134630399</v>
      </c>
      <c r="AS58" s="9">
        <v>186600000</v>
      </c>
      <c r="AT58" s="9">
        <v>252400000</v>
      </c>
      <c r="AU58" s="35"/>
      <c r="AV58" s="185"/>
      <c r="AW58" s="196">
        <v>53700000</v>
      </c>
    </row>
    <row r="59" spans="1:49" s="9" customFormat="1" x14ac:dyDescent="0.25">
      <c r="A59" s="14" t="s">
        <v>381</v>
      </c>
      <c r="B59" s="9">
        <v>60449.98</v>
      </c>
      <c r="C59" s="9">
        <v>47775</v>
      </c>
      <c r="H59" s="12"/>
      <c r="I59" s="12"/>
      <c r="J59" s="12"/>
      <c r="K59" s="12"/>
      <c r="L59" s="12"/>
      <c r="M59" s="12"/>
      <c r="N59" s="12"/>
      <c r="O59" s="12"/>
      <c r="P59" s="12"/>
      <c r="AA59" s="67"/>
      <c r="AM59" s="67"/>
      <c r="AN59" s="196"/>
      <c r="AO59" s="196"/>
      <c r="AP59" s="196"/>
      <c r="AQ59" s="67"/>
      <c r="AR59" s="67"/>
      <c r="AU59" s="35"/>
      <c r="AV59" s="185"/>
      <c r="AW59" s="196"/>
    </row>
    <row r="60" spans="1:49" s="9" customFormat="1" x14ac:dyDescent="0.25">
      <c r="A60" s="14" t="s">
        <v>17</v>
      </c>
      <c r="B60" s="9">
        <v>43181.14</v>
      </c>
      <c r="H60" s="12"/>
      <c r="I60" s="12"/>
      <c r="J60" s="12"/>
      <c r="K60" s="12"/>
      <c r="L60" s="12"/>
      <c r="M60" s="12"/>
      <c r="N60" s="12"/>
      <c r="O60" s="12"/>
      <c r="P60" s="12">
        <v>10925068.390000001</v>
      </c>
      <c r="AA60" s="67"/>
      <c r="AB60" s="9">
        <v>808034</v>
      </c>
      <c r="AC60" s="9">
        <v>474202.7</v>
      </c>
      <c r="AD60" s="9">
        <v>623902.1</v>
      </c>
      <c r="AE60" s="9">
        <v>726490.36</v>
      </c>
      <c r="AF60" s="9">
        <v>664339.12</v>
      </c>
      <c r="AG60" s="9">
        <v>1180750.1000000001</v>
      </c>
      <c r="AH60" s="9">
        <v>1450152.44</v>
      </c>
      <c r="AI60" s="9">
        <v>441391.43</v>
      </c>
      <c r="AJ60" s="9">
        <v>188395.26</v>
      </c>
      <c r="AK60" s="9">
        <v>703116.6</v>
      </c>
      <c r="AL60" s="9">
        <v>619306.23999999999</v>
      </c>
      <c r="AM60" s="67"/>
      <c r="AN60" s="196"/>
      <c r="AO60" s="196"/>
      <c r="AP60" s="196"/>
      <c r="AQ60" s="67"/>
      <c r="AR60" s="67"/>
      <c r="AU60" s="35"/>
      <c r="AV60" s="185"/>
      <c r="AW60" s="196"/>
    </row>
    <row r="61" spans="1:49" s="9" customFormat="1" x14ac:dyDescent="0.25">
      <c r="A61" s="14" t="s">
        <v>145</v>
      </c>
      <c r="C61" s="9">
        <v>157605</v>
      </c>
      <c r="D61" s="9">
        <v>8875.74</v>
      </c>
      <c r="E61" s="9">
        <v>11963.31</v>
      </c>
      <c r="F61" s="9">
        <v>17786.62</v>
      </c>
      <c r="G61" s="9">
        <v>22682.1</v>
      </c>
      <c r="H61" s="12">
        <v>12280.48</v>
      </c>
      <c r="I61" s="12">
        <v>8043.37</v>
      </c>
      <c r="J61" s="12">
        <v>13381.24</v>
      </c>
      <c r="K61" s="12">
        <v>82087.09</v>
      </c>
      <c r="L61" s="12">
        <v>12069.59</v>
      </c>
      <c r="M61" s="12">
        <v>14586.26</v>
      </c>
      <c r="N61" s="12">
        <v>124621.24</v>
      </c>
      <c r="O61" s="12">
        <v>4218.03</v>
      </c>
      <c r="P61" s="12"/>
      <c r="Q61" s="9">
        <v>41983</v>
      </c>
      <c r="R61" s="9">
        <v>31428</v>
      </c>
      <c r="S61" s="9">
        <v>119766</v>
      </c>
      <c r="T61" s="9">
        <v>7348385.96</v>
      </c>
      <c r="U61" s="9">
        <v>4863976.0599999996</v>
      </c>
      <c r="V61" s="9">
        <v>9264.17</v>
      </c>
      <c r="W61" s="9">
        <v>24078.65</v>
      </c>
      <c r="X61" s="9">
        <v>50916</v>
      </c>
      <c r="Y61" s="9">
        <v>42983</v>
      </c>
      <c r="Z61" s="9">
        <v>7008</v>
      </c>
      <c r="AA61" s="67">
        <v>20340.84</v>
      </c>
      <c r="AM61" s="67"/>
      <c r="AN61" s="196"/>
      <c r="AO61" s="196"/>
      <c r="AP61" s="196"/>
      <c r="AQ61" s="67"/>
      <c r="AR61" s="67"/>
      <c r="AU61" s="35"/>
      <c r="AV61" s="185"/>
      <c r="AW61" s="196"/>
    </row>
    <row r="62" spans="1:49" s="9" customFormat="1" x14ac:dyDescent="0.25">
      <c r="A62" s="14" t="s">
        <v>146</v>
      </c>
      <c r="C62" s="9">
        <v>20324</v>
      </c>
      <c r="D62" s="9">
        <v>18575.75</v>
      </c>
      <c r="E62" s="9">
        <v>15340.74</v>
      </c>
      <c r="F62" s="9">
        <v>16701.419999999998</v>
      </c>
      <c r="G62" s="9">
        <v>468207.66</v>
      </c>
      <c r="H62" s="12">
        <v>22902.27</v>
      </c>
      <c r="I62" s="12">
        <v>21921.69</v>
      </c>
      <c r="J62" s="12">
        <v>83948.41</v>
      </c>
      <c r="K62" s="12">
        <v>57110.42</v>
      </c>
      <c r="L62" s="12">
        <v>42468.81</v>
      </c>
      <c r="M62" s="12">
        <v>86254.05</v>
      </c>
      <c r="N62" s="12">
        <v>59624.37</v>
      </c>
      <c r="O62" s="12">
        <v>131389.79999999999</v>
      </c>
      <c r="P62" s="12"/>
      <c r="Q62" s="9">
        <v>193674</v>
      </c>
      <c r="R62" s="9">
        <v>129635</v>
      </c>
      <c r="S62" s="9">
        <v>224592</v>
      </c>
      <c r="T62" s="9">
        <v>336032.2</v>
      </c>
      <c r="U62" s="9">
        <v>191557.85</v>
      </c>
      <c r="V62" s="9">
        <v>866217.76</v>
      </c>
      <c r="W62" s="9">
        <v>532026.29</v>
      </c>
      <c r="X62" s="9">
        <v>476379</v>
      </c>
      <c r="Y62" s="9">
        <v>465218</v>
      </c>
      <c r="Z62" s="9">
        <v>392994</v>
      </c>
      <c r="AA62" s="67">
        <v>459940.84</v>
      </c>
      <c r="AM62" s="67"/>
      <c r="AN62" s="196"/>
      <c r="AO62" s="196"/>
      <c r="AP62" s="196"/>
      <c r="AQ62" s="67"/>
      <c r="AR62" s="67"/>
      <c r="AU62" s="35"/>
      <c r="AV62" s="185"/>
      <c r="AW62" s="196"/>
    </row>
    <row r="63" spans="1:49" s="9" customFormat="1" x14ac:dyDescent="0.25">
      <c r="A63" s="14" t="s">
        <v>190</v>
      </c>
      <c r="H63" s="12"/>
      <c r="I63" s="12"/>
      <c r="J63" s="12"/>
      <c r="K63" s="12"/>
      <c r="L63" s="12"/>
      <c r="M63" s="12"/>
      <c r="N63" s="12"/>
      <c r="O63" s="12"/>
      <c r="P63" s="12"/>
      <c r="AA63" s="67"/>
      <c r="AB63" s="9">
        <v>1002044.67</v>
      </c>
      <c r="AC63" s="9">
        <v>848790.94</v>
      </c>
      <c r="AD63" s="9">
        <v>1130630.22</v>
      </c>
      <c r="AE63" s="9">
        <v>1187717.6599999999</v>
      </c>
      <c r="AF63" s="9">
        <v>1038533.88</v>
      </c>
      <c r="AG63" s="9">
        <v>1274533.24</v>
      </c>
      <c r="AH63" s="9">
        <v>2284831.52</v>
      </c>
      <c r="AI63" s="9">
        <v>1861024.63</v>
      </c>
      <c r="AJ63" s="9">
        <v>2028507.73</v>
      </c>
      <c r="AK63" s="9">
        <v>3134799.94</v>
      </c>
      <c r="AL63" s="9">
        <v>3367523.33</v>
      </c>
      <c r="AM63" s="67"/>
      <c r="AN63" s="196"/>
      <c r="AO63" s="196"/>
      <c r="AP63" s="196"/>
      <c r="AQ63" s="67"/>
      <c r="AR63" s="67"/>
      <c r="AU63" s="35"/>
      <c r="AV63" s="185"/>
      <c r="AW63" s="196"/>
    </row>
    <row r="64" spans="1:49" s="9" customFormat="1" x14ac:dyDescent="0.25">
      <c r="A64" s="14" t="s">
        <v>147</v>
      </c>
      <c r="B64" s="9">
        <v>457735.43</v>
      </c>
      <c r="C64" s="9">
        <v>46568</v>
      </c>
      <c r="D64" s="9">
        <v>35296.33</v>
      </c>
      <c r="E64" s="9">
        <v>91770.75</v>
      </c>
      <c r="F64" s="9">
        <v>73615.149999999994</v>
      </c>
      <c r="G64" s="9">
        <v>70417.81</v>
      </c>
      <c r="H64" s="12">
        <v>36729.629999999997</v>
      </c>
      <c r="I64" s="12">
        <v>212909.54</v>
      </c>
      <c r="J64" s="12">
        <v>156109.22</v>
      </c>
      <c r="K64" s="12">
        <v>92058.01</v>
      </c>
      <c r="L64" s="12">
        <v>497016.17</v>
      </c>
      <c r="M64" s="12">
        <v>66358.22</v>
      </c>
      <c r="N64" s="12">
        <v>217542.67</v>
      </c>
      <c r="O64" s="12">
        <v>462337.6</v>
      </c>
      <c r="P64" s="12">
        <v>1147838.1599999999</v>
      </c>
      <c r="Q64" s="9">
        <v>951833</v>
      </c>
      <c r="R64" s="9">
        <v>1862153</v>
      </c>
      <c r="S64" s="9">
        <v>939336</v>
      </c>
      <c r="T64" s="9">
        <v>398970.73</v>
      </c>
      <c r="U64" s="9">
        <v>355908.05</v>
      </c>
      <c r="V64" s="9">
        <v>391103.09</v>
      </c>
      <c r="W64" s="9">
        <v>400649.67</v>
      </c>
      <c r="X64" s="9">
        <v>715538</v>
      </c>
      <c r="Y64" s="9">
        <v>832503</v>
      </c>
      <c r="Z64" s="9">
        <v>119893</v>
      </c>
      <c r="AA64" s="67">
        <v>638491.15</v>
      </c>
      <c r="AM64" s="67"/>
      <c r="AN64" s="196"/>
      <c r="AO64" s="196"/>
      <c r="AP64" s="196"/>
      <c r="AQ64" s="67"/>
      <c r="AR64" s="67"/>
      <c r="AU64" s="35"/>
      <c r="AV64" s="185"/>
      <c r="AW64" s="196"/>
    </row>
    <row r="65" spans="1:49" s="9" customFormat="1" x14ac:dyDescent="0.25">
      <c r="A65" s="14" t="s">
        <v>148</v>
      </c>
      <c r="B65" s="9">
        <v>377915.44</v>
      </c>
      <c r="C65" s="9">
        <v>222047</v>
      </c>
      <c r="D65" s="9">
        <v>699146.94</v>
      </c>
      <c r="E65" s="9">
        <v>236097.35</v>
      </c>
      <c r="F65" s="9">
        <v>318208.12</v>
      </c>
      <c r="G65" s="9">
        <v>335175.40999999997</v>
      </c>
      <c r="H65" s="12">
        <v>276454.67</v>
      </c>
      <c r="I65" s="12">
        <v>333940.71000000002</v>
      </c>
      <c r="J65" s="12">
        <v>241280.85</v>
      </c>
      <c r="K65" s="12">
        <v>254248.87</v>
      </c>
      <c r="L65" s="12">
        <v>328195.89</v>
      </c>
      <c r="M65" s="12">
        <v>291872.92</v>
      </c>
      <c r="N65" s="12">
        <v>156793.19</v>
      </c>
      <c r="O65" s="12">
        <v>406765.28</v>
      </c>
      <c r="P65" s="12">
        <v>418061.13</v>
      </c>
      <c r="Q65" s="9">
        <v>646719</v>
      </c>
      <c r="R65" s="9">
        <v>132804</v>
      </c>
      <c r="S65" s="9">
        <v>104978</v>
      </c>
      <c r="T65" s="9">
        <v>670616.68999999994</v>
      </c>
      <c r="U65" s="9">
        <v>206619.53</v>
      </c>
      <c r="V65" s="9">
        <v>209855.92</v>
      </c>
      <c r="W65" s="9">
        <v>368791.83</v>
      </c>
      <c r="X65" s="9">
        <v>287825</v>
      </c>
      <c r="Y65" s="9">
        <v>399388</v>
      </c>
      <c r="Z65" s="9">
        <v>572233</v>
      </c>
      <c r="AA65" s="67">
        <v>616673.27</v>
      </c>
      <c r="AM65" s="67"/>
      <c r="AN65" s="196"/>
      <c r="AO65" s="196"/>
      <c r="AP65" s="196"/>
      <c r="AQ65" s="67"/>
      <c r="AR65" s="67"/>
      <c r="AU65" s="35"/>
      <c r="AV65" s="185"/>
      <c r="AW65" s="196"/>
    </row>
    <row r="66" spans="1:49" s="9" customFormat="1" x14ac:dyDescent="0.25">
      <c r="A66" s="14" t="s">
        <v>397</v>
      </c>
      <c r="C66" s="9">
        <v>871300</v>
      </c>
      <c r="H66" s="12"/>
      <c r="I66" s="12"/>
      <c r="J66" s="12"/>
      <c r="K66" s="12"/>
      <c r="L66" s="12"/>
      <c r="M66" s="12"/>
      <c r="N66" s="12"/>
      <c r="O66" s="12"/>
      <c r="P66" s="12"/>
      <c r="AA66" s="67"/>
      <c r="AM66" s="67"/>
      <c r="AN66" s="196"/>
      <c r="AO66" s="196"/>
      <c r="AP66" s="196"/>
      <c r="AQ66" s="67"/>
      <c r="AR66" s="67"/>
      <c r="AU66" s="35"/>
      <c r="AV66" s="185"/>
      <c r="AW66" s="196"/>
    </row>
    <row r="67" spans="1:49" s="9" customFormat="1" x14ac:dyDescent="0.25">
      <c r="A67" s="14" t="s">
        <v>11</v>
      </c>
      <c r="D67" s="9">
        <v>0</v>
      </c>
      <c r="E67" s="9">
        <v>12695.1</v>
      </c>
      <c r="F67" s="9">
        <v>9043.67</v>
      </c>
      <c r="G67" s="9">
        <v>226949.13</v>
      </c>
      <c r="H67" s="12">
        <v>232070.15</v>
      </c>
      <c r="I67" s="12">
        <v>338366.57</v>
      </c>
      <c r="J67" s="12">
        <v>589391.92000000004</v>
      </c>
      <c r="K67" s="12">
        <v>415421.23</v>
      </c>
      <c r="L67" s="12">
        <v>772467.18</v>
      </c>
      <c r="M67" s="12">
        <v>979302.52</v>
      </c>
      <c r="N67" s="12">
        <v>889007.51</v>
      </c>
      <c r="O67" s="12">
        <v>1162413.69</v>
      </c>
      <c r="P67" s="12">
        <v>1323412.6299999999</v>
      </c>
      <c r="Q67" s="9">
        <v>2354859</v>
      </c>
      <c r="R67" s="9">
        <v>6334254</v>
      </c>
      <c r="S67" s="9">
        <v>7613172</v>
      </c>
      <c r="T67" s="9">
        <v>1506626.31</v>
      </c>
      <c r="U67" s="9">
        <v>2638396.9500000002</v>
      </c>
      <c r="V67" s="9">
        <v>865534.79</v>
      </c>
      <c r="W67" s="9">
        <v>497126.49</v>
      </c>
      <c r="X67" s="9">
        <v>454383</v>
      </c>
      <c r="Y67" s="9">
        <v>850816</v>
      </c>
      <c r="Z67" s="9">
        <v>1934976</v>
      </c>
      <c r="AA67" s="67">
        <v>2603260</v>
      </c>
      <c r="AM67" s="67"/>
      <c r="AN67" s="196"/>
      <c r="AO67" s="196"/>
      <c r="AP67" s="196"/>
      <c r="AQ67" s="67"/>
      <c r="AR67" s="67"/>
      <c r="AU67" s="35"/>
      <c r="AV67" s="185"/>
      <c r="AW67" s="196"/>
    </row>
    <row r="68" spans="1:49" s="9" customFormat="1" x14ac:dyDescent="0.25">
      <c r="A68" s="14" t="s">
        <v>18</v>
      </c>
      <c r="D68" s="9">
        <v>204098.83</v>
      </c>
      <c r="E68" s="9">
        <v>280835.81</v>
      </c>
      <c r="F68" s="9">
        <v>431937.38</v>
      </c>
      <c r="G68" s="9">
        <v>381189.57</v>
      </c>
      <c r="H68" s="12">
        <v>2080.08</v>
      </c>
      <c r="I68" s="12">
        <v>186935.97</v>
      </c>
      <c r="J68" s="12">
        <v>243124.71</v>
      </c>
      <c r="K68" s="12">
        <v>75189.75</v>
      </c>
      <c r="L68" s="12">
        <v>2114.67</v>
      </c>
      <c r="M68" s="12">
        <v>2505.9299999999998</v>
      </c>
      <c r="N68" s="12">
        <v>2257770.7400000002</v>
      </c>
      <c r="O68" s="12">
        <v>658680.81000000006</v>
      </c>
      <c r="P68" s="12">
        <v>153514.43</v>
      </c>
      <c r="Q68" s="9">
        <v>410823</v>
      </c>
      <c r="R68" s="9">
        <v>93613</v>
      </c>
      <c r="S68" s="9">
        <v>0</v>
      </c>
      <c r="T68" s="9">
        <v>185704.19</v>
      </c>
      <c r="U68" s="9">
        <v>4426469.8499999996</v>
      </c>
      <c r="V68" s="9">
        <v>59364.63</v>
      </c>
      <c r="W68" s="9">
        <v>4849.25</v>
      </c>
      <c r="X68" s="9">
        <v>1838646</v>
      </c>
      <c r="Y68" s="9">
        <v>1158675</v>
      </c>
      <c r="Z68" s="9">
        <v>1119236</v>
      </c>
      <c r="AA68" s="67">
        <v>77681.740000000005</v>
      </c>
      <c r="AM68" s="67"/>
      <c r="AN68" s="196"/>
      <c r="AO68" s="196"/>
      <c r="AP68" s="196"/>
      <c r="AQ68" s="67"/>
      <c r="AR68" s="67"/>
      <c r="AU68" s="35"/>
      <c r="AV68" s="185"/>
      <c r="AW68" s="196"/>
    </row>
    <row r="69" spans="1:49" s="9" customFormat="1" x14ac:dyDescent="0.25">
      <c r="A69" s="14" t="s">
        <v>191</v>
      </c>
      <c r="H69" s="12"/>
      <c r="I69" s="12"/>
      <c r="J69" s="12"/>
      <c r="K69" s="12"/>
      <c r="L69" s="12"/>
      <c r="M69" s="12"/>
      <c r="N69" s="12"/>
      <c r="O69" s="12"/>
      <c r="P69" s="12"/>
      <c r="AA69" s="67"/>
      <c r="AM69" s="67"/>
      <c r="AN69" s="196"/>
      <c r="AO69" s="196"/>
      <c r="AP69" s="196"/>
      <c r="AQ69" s="67"/>
      <c r="AR69" s="67"/>
      <c r="AU69" s="35"/>
      <c r="AV69" s="185"/>
      <c r="AW69" s="196"/>
    </row>
    <row r="70" spans="1:49" s="9" customFormat="1" x14ac:dyDescent="0.25">
      <c r="A70" s="14" t="s">
        <v>19</v>
      </c>
      <c r="B70" s="9">
        <v>920505.07</v>
      </c>
      <c r="C70" s="9">
        <v>1424331</v>
      </c>
      <c r="D70" s="9">
        <v>388985.87</v>
      </c>
      <c r="E70" s="9">
        <v>65772.83</v>
      </c>
      <c r="F70" s="9">
        <v>264945.06</v>
      </c>
      <c r="G70" s="9">
        <v>267845.95</v>
      </c>
      <c r="H70" s="12">
        <v>1316566.8999999999</v>
      </c>
      <c r="I70" s="12">
        <v>354675.24</v>
      </c>
      <c r="J70" s="12">
        <v>2624516.6</v>
      </c>
      <c r="K70" s="12">
        <v>1224404.8600000001</v>
      </c>
      <c r="L70" s="12">
        <v>1775074.73</v>
      </c>
      <c r="M70" s="12">
        <v>2599903.65</v>
      </c>
      <c r="N70" s="12">
        <v>5011891.7</v>
      </c>
      <c r="O70" s="12">
        <v>21008637.02</v>
      </c>
      <c r="P70" s="12">
        <v>44863964.359999999</v>
      </c>
      <c r="Q70" s="9">
        <v>16588204</v>
      </c>
      <c r="R70" s="9">
        <v>31449958</v>
      </c>
      <c r="S70" s="9">
        <f>25062967+54675662</f>
        <v>79738629</v>
      </c>
      <c r="T70" s="9">
        <v>11933008.34</v>
      </c>
      <c r="U70" s="9">
        <v>13203368.27</v>
      </c>
      <c r="V70" s="9">
        <v>13434845.130000001</v>
      </c>
      <c r="W70" s="9">
        <v>9816204.5500000007</v>
      </c>
      <c r="X70" s="9">
        <v>8365278</v>
      </c>
      <c r="Y70" s="9">
        <v>4042264</v>
      </c>
      <c r="Z70" s="9">
        <v>8060808</v>
      </c>
      <c r="AA70" s="67">
        <v>8499246.9399999995</v>
      </c>
      <c r="AB70" s="9">
        <v>11933905.02</v>
      </c>
      <c r="AC70" s="9">
        <v>12202563.02</v>
      </c>
      <c r="AD70" s="9">
        <v>12467511.130000001</v>
      </c>
      <c r="AE70" s="9">
        <v>15431602.140000001</v>
      </c>
      <c r="AF70" s="9">
        <v>14991914.5</v>
      </c>
      <c r="AG70" s="9">
        <v>15484159.77</v>
      </c>
      <c r="AH70" s="9">
        <v>20934669.199999999</v>
      </c>
      <c r="AI70" s="9">
        <v>28317385.109999999</v>
      </c>
      <c r="AJ70" s="9">
        <v>34792427.289999999</v>
      </c>
      <c r="AK70" s="9">
        <v>29912419.649999999</v>
      </c>
      <c r="AL70" s="9">
        <v>28337306.030000001</v>
      </c>
      <c r="AM70" s="67">
        <v>22063000</v>
      </c>
      <c r="AN70" s="196"/>
      <c r="AO70" s="196"/>
      <c r="AP70" s="196"/>
      <c r="AQ70" s="67">
        <v>126097008</v>
      </c>
      <c r="AR70" s="67">
        <v>201005703</v>
      </c>
      <c r="AS70" s="9">
        <v>225900000</v>
      </c>
      <c r="AT70" s="9">
        <v>267500000</v>
      </c>
      <c r="AU70" s="35"/>
      <c r="AV70" s="185"/>
      <c r="AW70" s="196">
        <v>19600000</v>
      </c>
    </row>
    <row r="71" spans="1:49" s="35" customFormat="1" x14ac:dyDescent="0.25">
      <c r="A71" s="5" t="s">
        <v>194</v>
      </c>
      <c r="H71" s="81"/>
      <c r="I71" s="81">
        <v>2000</v>
      </c>
      <c r="J71" s="81"/>
      <c r="K71" s="81"/>
      <c r="L71" s="81"/>
      <c r="M71" s="81"/>
      <c r="N71" s="81"/>
      <c r="O71" s="81"/>
      <c r="P71" s="81"/>
      <c r="V71" s="35">
        <v>0.01</v>
      </c>
      <c r="AA71" s="64"/>
      <c r="AM71" s="64"/>
      <c r="AN71" s="194"/>
      <c r="AO71" s="194"/>
      <c r="AP71" s="194"/>
      <c r="AQ71" s="64"/>
      <c r="AR71" s="64"/>
      <c r="AV71" s="185"/>
      <c r="AW71" s="194">
        <v>200000</v>
      </c>
    </row>
    <row r="72" spans="1:49" x14ac:dyDescent="0.25">
      <c r="A72" s="4" t="s">
        <v>0</v>
      </c>
      <c r="B72" s="3">
        <v>25248532.469999999</v>
      </c>
      <c r="C72" s="3">
        <v>21399864</v>
      </c>
      <c r="D72" s="3">
        <v>30703379.960000001</v>
      </c>
      <c r="E72" s="3">
        <v>34104715.299999997</v>
      </c>
      <c r="F72" s="3">
        <v>34908427.850000001</v>
      </c>
      <c r="G72" s="3">
        <v>36276831.109999999</v>
      </c>
      <c r="H72" s="3">
        <v>45712910.449999996</v>
      </c>
      <c r="I72" s="3">
        <v>49115393.720000006</v>
      </c>
      <c r="J72" s="3">
        <v>71771455.700000018</v>
      </c>
      <c r="K72" s="3">
        <v>67403192.950000003</v>
      </c>
      <c r="L72" s="3">
        <v>66639866.940000005</v>
      </c>
      <c r="M72" s="3">
        <v>71542868.989999995</v>
      </c>
      <c r="N72" s="3">
        <v>121954154.3</v>
      </c>
      <c r="O72" s="3">
        <v>239247726.43999997</v>
      </c>
      <c r="P72" s="3">
        <v>321442652.24999994</v>
      </c>
      <c r="Q72" s="3">
        <v>354587721</v>
      </c>
      <c r="R72" s="3">
        <v>431405077</v>
      </c>
      <c r="S72" s="3">
        <v>380502650</v>
      </c>
      <c r="T72" s="3">
        <v>326203461.18000007</v>
      </c>
      <c r="U72" s="3">
        <v>338057989.05000007</v>
      </c>
      <c r="V72" s="3">
        <v>280529356.92000002</v>
      </c>
      <c r="W72" s="3">
        <v>287590651.63999993</v>
      </c>
      <c r="X72" s="3">
        <v>245582200</v>
      </c>
      <c r="Y72" s="3">
        <v>256392743</v>
      </c>
      <c r="Z72" s="3">
        <v>272392088</v>
      </c>
      <c r="AA72" s="68">
        <v>272638277.97000003</v>
      </c>
      <c r="AB72" s="3">
        <v>259555056.97</v>
      </c>
      <c r="AC72" s="3">
        <v>251621975.72999999</v>
      </c>
      <c r="AD72" s="3">
        <v>253391276.69</v>
      </c>
      <c r="AE72" s="3">
        <v>267566462.75</v>
      </c>
      <c r="AF72" s="3">
        <v>264416792.44</v>
      </c>
      <c r="AG72" s="3">
        <v>280433585.29000002</v>
      </c>
      <c r="AH72" s="3">
        <v>350960453.80000001</v>
      </c>
      <c r="AI72" s="3">
        <v>359272519.54000002</v>
      </c>
      <c r="AJ72" s="3">
        <v>386830412.45999998</v>
      </c>
      <c r="AK72" s="3">
        <v>383481927.19999999</v>
      </c>
      <c r="AL72" s="3">
        <v>387211508.57999998</v>
      </c>
      <c r="AM72" s="197">
        <v>360609000</v>
      </c>
      <c r="AN72" s="197"/>
      <c r="AO72" s="197"/>
      <c r="AP72" s="197"/>
      <c r="AQ72" s="68">
        <v>568416934</v>
      </c>
      <c r="AR72" s="68">
        <v>848210172</v>
      </c>
      <c r="AS72" s="3">
        <v>866500000</v>
      </c>
      <c r="AT72" s="3">
        <v>1148700000</v>
      </c>
      <c r="AV72" s="185"/>
      <c r="AW72" s="197">
        <v>370300000</v>
      </c>
    </row>
    <row r="73" spans="1:49"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68"/>
      <c r="AB73" s="3"/>
      <c r="AC73" s="3"/>
      <c r="AD73" s="3"/>
      <c r="AE73" s="3"/>
      <c r="AF73" s="3"/>
      <c r="AG73" s="3"/>
      <c r="AH73" s="3"/>
      <c r="AI73" s="3"/>
      <c r="AJ73" s="3"/>
      <c r="AK73" s="3"/>
      <c r="AL73" s="3"/>
      <c r="AM73" s="3"/>
      <c r="AN73" s="3"/>
      <c r="AO73" s="3"/>
      <c r="AP73" s="3"/>
      <c r="AQ73" s="68"/>
      <c r="AR73" s="68"/>
      <c r="AS73" s="3"/>
      <c r="AT73" s="3"/>
      <c r="AV73" s="185"/>
      <c r="AW73" s="182"/>
    </row>
    <row r="74" spans="1:49" x14ac:dyDescent="0.25">
      <c r="B74" s="1"/>
      <c r="C74" s="1"/>
      <c r="AQ74" s="63"/>
      <c r="AV74" s="185"/>
    </row>
    <row r="75" spans="1:49" x14ac:dyDescent="0.25">
      <c r="A75" s="18" t="s">
        <v>152</v>
      </c>
      <c r="B75" s="8">
        <f t="shared" ref="B75:AT75" si="0">B35-SUM(B6:B34)</f>
        <v>0</v>
      </c>
      <c r="C75" s="8">
        <f t="shared" si="0"/>
        <v>0</v>
      </c>
      <c r="D75" s="8">
        <f t="shared" si="0"/>
        <v>0</v>
      </c>
      <c r="E75" s="8">
        <f t="shared" si="0"/>
        <v>0</v>
      </c>
      <c r="F75" s="8">
        <f t="shared" si="0"/>
        <v>0</v>
      </c>
      <c r="G75" s="8">
        <f t="shared" si="0"/>
        <v>0</v>
      </c>
      <c r="H75" s="8">
        <f t="shared" si="0"/>
        <v>0</v>
      </c>
      <c r="I75" s="8">
        <f t="shared" si="0"/>
        <v>0</v>
      </c>
      <c r="J75" s="8">
        <f t="shared" si="0"/>
        <v>0</v>
      </c>
      <c r="K75" s="8">
        <f t="shared" si="0"/>
        <v>0</v>
      </c>
      <c r="L75" s="8">
        <f t="shared" si="0"/>
        <v>0</v>
      </c>
      <c r="M75" s="8">
        <f t="shared" si="0"/>
        <v>0</v>
      </c>
      <c r="N75" s="8">
        <f t="shared" si="0"/>
        <v>0</v>
      </c>
      <c r="O75" s="8">
        <f t="shared" si="0"/>
        <v>0</v>
      </c>
      <c r="P75" s="8">
        <f t="shared" si="0"/>
        <v>0</v>
      </c>
      <c r="Q75" s="8">
        <f t="shared" si="0"/>
        <v>0</v>
      </c>
      <c r="R75" s="8">
        <f t="shared" si="0"/>
        <v>0</v>
      </c>
      <c r="S75" s="8">
        <f t="shared" si="0"/>
        <v>0</v>
      </c>
      <c r="T75" s="8">
        <f t="shared" si="0"/>
        <v>0</v>
      </c>
      <c r="U75" s="8">
        <f t="shared" si="0"/>
        <v>0</v>
      </c>
      <c r="V75" s="8">
        <f t="shared" si="0"/>
        <v>0</v>
      </c>
      <c r="W75" s="8">
        <f t="shared" si="0"/>
        <v>0</v>
      </c>
      <c r="X75" s="8">
        <f t="shared" si="0"/>
        <v>0</v>
      </c>
      <c r="Y75" s="8">
        <f t="shared" si="0"/>
        <v>0</v>
      </c>
      <c r="Z75" s="8">
        <f t="shared" si="0"/>
        <v>0</v>
      </c>
      <c r="AA75" s="8">
        <f t="shared" si="0"/>
        <v>0</v>
      </c>
      <c r="AB75" s="8">
        <f t="shared" si="0"/>
        <v>0</v>
      </c>
      <c r="AC75" s="8">
        <f t="shared" si="0"/>
        <v>0</v>
      </c>
      <c r="AD75" s="8">
        <f t="shared" si="0"/>
        <v>0</v>
      </c>
      <c r="AE75" s="8">
        <f t="shared" si="0"/>
        <v>0</v>
      </c>
      <c r="AF75" s="8">
        <f t="shared" si="0"/>
        <v>0</v>
      </c>
      <c r="AG75" s="8">
        <f t="shared" si="0"/>
        <v>0</v>
      </c>
      <c r="AH75" s="8">
        <f t="shared" si="0"/>
        <v>0</v>
      </c>
      <c r="AI75" s="8">
        <f t="shared" si="0"/>
        <v>0</v>
      </c>
      <c r="AJ75" s="8">
        <f t="shared" si="0"/>
        <v>0</v>
      </c>
      <c r="AK75" s="8">
        <f t="shared" si="0"/>
        <v>0</v>
      </c>
      <c r="AL75" s="8">
        <f t="shared" si="0"/>
        <v>0</v>
      </c>
      <c r="AM75" s="8">
        <f t="shared" si="0"/>
        <v>0</v>
      </c>
      <c r="AN75" s="8">
        <f t="shared" si="0"/>
        <v>0</v>
      </c>
      <c r="AO75" s="8">
        <f t="shared" si="0"/>
        <v>0</v>
      </c>
      <c r="AP75" s="8">
        <f t="shared" si="0"/>
        <v>0</v>
      </c>
      <c r="AQ75" s="8">
        <f t="shared" si="0"/>
        <v>0</v>
      </c>
      <c r="AR75" s="8">
        <f t="shared" si="0"/>
        <v>0</v>
      </c>
      <c r="AS75" s="8">
        <f t="shared" si="0"/>
        <v>0</v>
      </c>
      <c r="AT75" s="8">
        <f t="shared" si="0"/>
        <v>0</v>
      </c>
      <c r="AV75" s="185"/>
      <c r="AW75" s="184">
        <f t="shared" ref="AW75" si="1">AW35-SUM(AW6:AW34)</f>
        <v>0</v>
      </c>
    </row>
    <row r="76" spans="1:49" x14ac:dyDescent="0.25">
      <c r="A76" s="18" t="s">
        <v>153</v>
      </c>
      <c r="B76" s="8">
        <f t="shared" ref="B76:AT76" si="2">B72-SUM(B38:B71)</f>
        <v>0</v>
      </c>
      <c r="C76" s="8">
        <f t="shared" si="2"/>
        <v>0</v>
      </c>
      <c r="D76" s="8">
        <f t="shared" si="2"/>
        <v>0</v>
      </c>
      <c r="E76" s="8">
        <f t="shared" si="2"/>
        <v>0</v>
      </c>
      <c r="F76" s="8">
        <f t="shared" si="2"/>
        <v>0</v>
      </c>
      <c r="G76" s="8">
        <f t="shared" si="2"/>
        <v>0</v>
      </c>
      <c r="H76" s="8">
        <f t="shared" si="2"/>
        <v>0</v>
      </c>
      <c r="I76" s="8">
        <f t="shared" si="2"/>
        <v>0</v>
      </c>
      <c r="J76" s="8">
        <f t="shared" si="2"/>
        <v>0</v>
      </c>
      <c r="K76" s="8">
        <f t="shared" si="2"/>
        <v>0</v>
      </c>
      <c r="L76" s="8">
        <f t="shared" si="2"/>
        <v>0</v>
      </c>
      <c r="M76" s="8">
        <f t="shared" si="2"/>
        <v>0</v>
      </c>
      <c r="N76" s="8">
        <f t="shared" si="2"/>
        <v>0</v>
      </c>
      <c r="O76" s="8">
        <f t="shared" si="2"/>
        <v>0</v>
      </c>
      <c r="P76" s="8">
        <f t="shared" si="2"/>
        <v>0</v>
      </c>
      <c r="Q76" s="8">
        <f t="shared" si="2"/>
        <v>0</v>
      </c>
      <c r="R76" s="8">
        <f t="shared" si="2"/>
        <v>0</v>
      </c>
      <c r="S76" s="8">
        <f t="shared" si="2"/>
        <v>0</v>
      </c>
      <c r="T76" s="8">
        <f t="shared" si="2"/>
        <v>0</v>
      </c>
      <c r="U76" s="8">
        <f t="shared" si="2"/>
        <v>0</v>
      </c>
      <c r="V76" s="8">
        <f t="shared" si="2"/>
        <v>0</v>
      </c>
      <c r="W76" s="8">
        <f t="shared" si="2"/>
        <v>0</v>
      </c>
      <c r="X76" s="8">
        <f t="shared" si="2"/>
        <v>0</v>
      </c>
      <c r="Y76" s="8">
        <f t="shared" si="2"/>
        <v>0</v>
      </c>
      <c r="Z76" s="8">
        <f t="shared" si="2"/>
        <v>0</v>
      </c>
      <c r="AA76" s="8">
        <f t="shared" si="2"/>
        <v>0</v>
      </c>
      <c r="AB76" s="8">
        <f t="shared" si="2"/>
        <v>0</v>
      </c>
      <c r="AC76" s="8">
        <f t="shared" si="2"/>
        <v>0</v>
      </c>
      <c r="AD76" s="8">
        <f t="shared" si="2"/>
        <v>0</v>
      </c>
      <c r="AE76" s="8">
        <f t="shared" si="2"/>
        <v>0</v>
      </c>
      <c r="AF76" s="8">
        <f t="shared" si="2"/>
        <v>0</v>
      </c>
      <c r="AG76" s="8">
        <f t="shared" si="2"/>
        <v>0</v>
      </c>
      <c r="AH76" s="8">
        <f t="shared" si="2"/>
        <v>0</v>
      </c>
      <c r="AI76" s="8">
        <f t="shared" si="2"/>
        <v>0</v>
      </c>
      <c r="AJ76" s="8">
        <f t="shared" si="2"/>
        <v>0</v>
      </c>
      <c r="AK76" s="8">
        <f t="shared" si="2"/>
        <v>0</v>
      </c>
      <c r="AL76" s="8">
        <f t="shared" si="2"/>
        <v>0</v>
      </c>
      <c r="AM76" s="8">
        <f t="shared" si="2"/>
        <v>0</v>
      </c>
      <c r="AN76" s="8">
        <f t="shared" si="2"/>
        <v>0</v>
      </c>
      <c r="AO76" s="8">
        <f t="shared" si="2"/>
        <v>0</v>
      </c>
      <c r="AP76" s="8">
        <f t="shared" si="2"/>
        <v>0</v>
      </c>
      <c r="AQ76" s="8">
        <f t="shared" si="2"/>
        <v>0</v>
      </c>
      <c r="AR76" s="8">
        <f t="shared" si="2"/>
        <v>0</v>
      </c>
      <c r="AS76" s="8">
        <f t="shared" si="2"/>
        <v>0</v>
      </c>
      <c r="AT76" s="8">
        <f t="shared" si="2"/>
        <v>0</v>
      </c>
      <c r="AV76" s="185"/>
      <c r="AW76" s="184">
        <f>AW72-SUM(AW38:AW71)</f>
        <v>0</v>
      </c>
    </row>
    <row r="77" spans="1:49" s="8" customFormat="1" x14ac:dyDescent="0.25">
      <c r="A77" s="18" t="s">
        <v>151</v>
      </c>
      <c r="B77" s="8">
        <f t="shared" ref="B77:Z77" si="3">SUM(B6:B34)-SUM(B39:B71)</f>
        <v>0</v>
      </c>
      <c r="C77" s="8">
        <f t="shared" si="3"/>
        <v>0</v>
      </c>
      <c r="D77" s="8">
        <f t="shared" si="3"/>
        <v>0</v>
      </c>
      <c r="E77" s="8">
        <f t="shared" si="3"/>
        <v>0</v>
      </c>
      <c r="F77" s="8">
        <f t="shared" si="3"/>
        <v>0</v>
      </c>
      <c r="G77" s="8">
        <f t="shared" si="3"/>
        <v>0</v>
      </c>
      <c r="H77" s="8">
        <f t="shared" si="3"/>
        <v>0</v>
      </c>
      <c r="I77" s="65">
        <f t="shared" si="3"/>
        <v>0</v>
      </c>
      <c r="J77" s="8">
        <f t="shared" si="3"/>
        <v>0</v>
      </c>
      <c r="K77" s="8">
        <f t="shared" si="3"/>
        <v>0</v>
      </c>
      <c r="L77" s="8">
        <f t="shared" si="3"/>
        <v>0</v>
      </c>
      <c r="M77" s="8">
        <f t="shared" si="3"/>
        <v>0</v>
      </c>
      <c r="N77" s="8">
        <f t="shared" si="3"/>
        <v>0</v>
      </c>
      <c r="O77" s="8">
        <f t="shared" si="3"/>
        <v>0</v>
      </c>
      <c r="P77" s="8">
        <f t="shared" si="3"/>
        <v>0</v>
      </c>
      <c r="Q77" s="8">
        <f t="shared" si="3"/>
        <v>0</v>
      </c>
      <c r="R77" s="8">
        <f t="shared" si="3"/>
        <v>0</v>
      </c>
      <c r="S77" s="8">
        <f t="shared" si="3"/>
        <v>0</v>
      </c>
      <c r="T77" s="8">
        <f t="shared" si="3"/>
        <v>0</v>
      </c>
      <c r="U77" s="8">
        <f t="shared" si="3"/>
        <v>0</v>
      </c>
      <c r="V77" s="65">
        <f t="shared" si="3"/>
        <v>0</v>
      </c>
      <c r="W77" s="8">
        <f t="shared" si="3"/>
        <v>0</v>
      </c>
      <c r="X77" s="8">
        <f t="shared" si="3"/>
        <v>0</v>
      </c>
      <c r="Y77" s="8">
        <f t="shared" si="3"/>
        <v>0</v>
      </c>
      <c r="Z77" s="8">
        <f t="shared" si="3"/>
        <v>0</v>
      </c>
      <c r="AA77" s="65">
        <f>SUM(AA6:AA34)-SUM(AA38:AA71)</f>
        <v>0</v>
      </c>
      <c r="AB77" s="195">
        <f t="shared" ref="AB77:AT77" si="4">SUM(AB6:AB34)-SUM(AB38:AB71)</f>
        <v>0</v>
      </c>
      <c r="AC77" s="195">
        <f t="shared" si="4"/>
        <v>0</v>
      </c>
      <c r="AD77" s="195">
        <f t="shared" si="4"/>
        <v>0</v>
      </c>
      <c r="AE77" s="195">
        <f t="shared" si="4"/>
        <v>0</v>
      </c>
      <c r="AF77" s="195">
        <f t="shared" si="4"/>
        <v>0</v>
      </c>
      <c r="AG77" s="195">
        <f t="shared" si="4"/>
        <v>0</v>
      </c>
      <c r="AH77" s="195">
        <f t="shared" si="4"/>
        <v>0</v>
      </c>
      <c r="AI77" s="195">
        <f t="shared" si="4"/>
        <v>0</v>
      </c>
      <c r="AJ77" s="195">
        <f t="shared" si="4"/>
        <v>0</v>
      </c>
      <c r="AK77" s="195">
        <f t="shared" si="4"/>
        <v>0</v>
      </c>
      <c r="AL77" s="195">
        <f t="shared" si="4"/>
        <v>0</v>
      </c>
      <c r="AM77" s="195">
        <f t="shared" si="4"/>
        <v>0</v>
      </c>
      <c r="AN77" s="195">
        <f t="shared" si="4"/>
        <v>0</v>
      </c>
      <c r="AO77" s="195">
        <f t="shared" si="4"/>
        <v>0</v>
      </c>
      <c r="AP77" s="195">
        <f t="shared" si="4"/>
        <v>0</v>
      </c>
      <c r="AQ77" s="195">
        <f t="shared" si="4"/>
        <v>0</v>
      </c>
      <c r="AR77" s="195">
        <f t="shared" si="4"/>
        <v>0</v>
      </c>
      <c r="AS77" s="195">
        <f t="shared" si="4"/>
        <v>0</v>
      </c>
      <c r="AT77" s="195">
        <f t="shared" si="4"/>
        <v>0</v>
      </c>
      <c r="AV77" s="185"/>
      <c r="AW77" s="195">
        <f t="shared" ref="AW77" si="5">SUM(AW6:AW34)-SUM(AW38:AW71)</f>
        <v>0</v>
      </c>
    </row>
    <row r="79" spans="1:49" x14ac:dyDescent="0.25">
      <c r="A79" s="4" t="s">
        <v>98</v>
      </c>
    </row>
    <row r="80" spans="1:49" x14ac:dyDescent="0.25">
      <c r="A80" s="14" t="s">
        <v>473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election activeCell="A2" sqref="A2"/>
    </sheetView>
  </sheetViews>
  <sheetFormatPr defaultRowHeight="15" x14ac:dyDescent="0.25"/>
  <cols>
    <col min="1" max="1" width="19.140625" customWidth="1"/>
    <col min="2" max="2" width="18.42578125" customWidth="1"/>
    <col min="3" max="3" width="15.140625" customWidth="1"/>
    <col min="4" max="4" width="14.5703125" customWidth="1"/>
    <col min="5" max="5" width="15.140625" customWidth="1"/>
    <col min="6" max="6" width="13.5703125" customWidth="1"/>
    <col min="7" max="7" width="19.140625" customWidth="1"/>
    <col min="8" max="8" width="18.42578125" style="171" customWidth="1"/>
    <col min="9" max="9" width="15.140625" style="171" customWidth="1"/>
    <col min="10" max="10" width="14.5703125" style="171" customWidth="1"/>
    <col min="11" max="11" width="15.140625" style="171" customWidth="1"/>
  </cols>
  <sheetData>
    <row r="1" spans="1:11" ht="18.75" x14ac:dyDescent="0.3">
      <c r="A1" s="44" t="s">
        <v>71</v>
      </c>
      <c r="G1" s="44" t="s">
        <v>528</v>
      </c>
    </row>
    <row r="2" spans="1:11" x14ac:dyDescent="0.25">
      <c r="B2" s="6"/>
      <c r="C2" s="6"/>
      <c r="D2" s="6"/>
      <c r="E2" s="6"/>
      <c r="F2" s="6"/>
    </row>
    <row r="3" spans="1:11" x14ac:dyDescent="0.25">
      <c r="H3" s="293" t="s">
        <v>49</v>
      </c>
      <c r="I3" s="293" t="s">
        <v>416</v>
      </c>
      <c r="J3" s="293" t="s">
        <v>48</v>
      </c>
      <c r="K3" s="293" t="s">
        <v>0</v>
      </c>
    </row>
    <row r="4" spans="1:11" x14ac:dyDescent="0.25">
      <c r="B4" s="6"/>
      <c r="C4" s="6"/>
      <c r="D4" s="6"/>
      <c r="E4" s="1"/>
      <c r="G4">
        <v>1904</v>
      </c>
      <c r="H4" s="62">
        <v>6000000</v>
      </c>
      <c r="I4" s="62">
        <v>3057127</v>
      </c>
      <c r="J4" s="62">
        <v>855367.5</v>
      </c>
      <c r="K4" s="63">
        <f>SUM(H4:J4)</f>
        <v>9912494.5</v>
      </c>
    </row>
    <row r="5" spans="1:11" x14ac:dyDescent="0.25">
      <c r="B5" s="6"/>
      <c r="C5" s="6"/>
      <c r="D5" s="6"/>
      <c r="E5" s="1"/>
      <c r="G5">
        <v>1905</v>
      </c>
      <c r="H5" s="62">
        <v>10450000</v>
      </c>
      <c r="I5" s="62">
        <v>17710667</v>
      </c>
      <c r="J5" s="62">
        <v>784287</v>
      </c>
      <c r="K5" s="63">
        <f>SUM(H5:J5)</f>
        <v>28944954</v>
      </c>
    </row>
    <row r="6" spans="1:11" x14ac:dyDescent="0.25">
      <c r="B6" s="6"/>
      <c r="C6" s="6"/>
      <c r="D6" s="6"/>
      <c r="E6" s="1"/>
      <c r="G6">
        <v>1906</v>
      </c>
      <c r="H6" s="62">
        <v>13231374.5</v>
      </c>
      <c r="I6" s="62">
        <v>16799037.100000001</v>
      </c>
      <c r="J6" s="62">
        <v>1178625.3999999985</v>
      </c>
      <c r="K6" s="63">
        <f t="shared" ref="K6:K41" si="0">SUM(H6:J6)</f>
        <v>31209037</v>
      </c>
    </row>
    <row r="7" spans="1:11" x14ac:dyDescent="0.25">
      <c r="B7" s="6"/>
      <c r="C7" s="6"/>
      <c r="D7" s="6"/>
      <c r="E7" s="1"/>
      <c r="G7">
        <v>1907</v>
      </c>
      <c r="H7" s="62">
        <v>21540708</v>
      </c>
      <c r="I7" s="62">
        <v>22785860.25</v>
      </c>
      <c r="J7" s="62">
        <v>275596.2</v>
      </c>
      <c r="K7" s="63">
        <f t="shared" si="0"/>
        <v>44602164.450000003</v>
      </c>
    </row>
    <row r="8" spans="1:11" x14ac:dyDescent="0.25">
      <c r="B8" s="6"/>
      <c r="C8" s="6"/>
      <c r="D8" s="6"/>
      <c r="E8" s="1"/>
      <c r="G8">
        <v>1908</v>
      </c>
      <c r="H8" s="62">
        <v>18883699</v>
      </c>
      <c r="I8" s="62">
        <v>19811012.039999999</v>
      </c>
      <c r="J8" s="62">
        <v>1643271</v>
      </c>
      <c r="K8" s="63">
        <f t="shared" si="0"/>
        <v>40337982.039999999</v>
      </c>
    </row>
    <row r="9" spans="1:11" x14ac:dyDescent="0.25">
      <c r="B9" s="6"/>
      <c r="C9" s="6"/>
      <c r="D9" s="6"/>
      <c r="E9" s="1"/>
      <c r="G9">
        <v>1909</v>
      </c>
      <c r="H9" s="62">
        <v>22797454</v>
      </c>
      <c r="I9" s="62">
        <v>18532024.59</v>
      </c>
      <c r="J9" s="62">
        <v>199129.14999999851</v>
      </c>
      <c r="K9" s="63">
        <f t="shared" si="0"/>
        <v>41528607.740000002</v>
      </c>
    </row>
    <row r="10" spans="1:11" x14ac:dyDescent="0.25">
      <c r="B10" s="6"/>
      <c r="C10" s="6"/>
      <c r="D10" s="6"/>
      <c r="E10" s="1"/>
      <c r="G10">
        <v>1910</v>
      </c>
      <c r="H10" s="62">
        <v>26041840</v>
      </c>
      <c r="I10" s="62">
        <v>20674773.809999999</v>
      </c>
      <c r="J10" s="62">
        <v>2038083.55</v>
      </c>
      <c r="K10" s="63">
        <f t="shared" si="0"/>
        <v>48754697.359999999</v>
      </c>
    </row>
    <row r="11" spans="1:11" x14ac:dyDescent="0.25">
      <c r="G11">
        <v>1911</v>
      </c>
      <c r="H11" s="62">
        <v>25804534</v>
      </c>
      <c r="I11" s="62">
        <v>19050704.390000001</v>
      </c>
      <c r="J11" s="62">
        <v>3300348.76</v>
      </c>
      <c r="K11" s="63">
        <f t="shared" si="0"/>
        <v>48155587.149999999</v>
      </c>
    </row>
    <row r="12" spans="1:11" x14ac:dyDescent="0.25">
      <c r="G12">
        <v>1912</v>
      </c>
      <c r="H12" s="62">
        <v>26788055.5</v>
      </c>
      <c r="I12" s="62">
        <v>19819923.350000001</v>
      </c>
      <c r="J12" s="62">
        <v>5447914.1200000001</v>
      </c>
      <c r="K12" s="63">
        <f t="shared" si="0"/>
        <v>52055892.969999999</v>
      </c>
    </row>
    <row r="13" spans="1:11" x14ac:dyDescent="0.25">
      <c r="G13">
        <v>1913</v>
      </c>
      <c r="H13" s="62">
        <v>28188662</v>
      </c>
      <c r="I13" s="62">
        <v>18412206.920000002</v>
      </c>
      <c r="J13" s="62">
        <v>5433519.7999999998</v>
      </c>
      <c r="K13" s="63">
        <f t="shared" si="0"/>
        <v>52034388.719999999</v>
      </c>
    </row>
    <row r="14" spans="1:11" x14ac:dyDescent="0.25">
      <c r="G14">
        <v>1914</v>
      </c>
      <c r="H14" s="62">
        <v>30025914</v>
      </c>
      <c r="I14" s="62">
        <v>17144331.93</v>
      </c>
      <c r="J14" s="62">
        <v>5404871.8099999996</v>
      </c>
      <c r="K14" s="63">
        <f t="shared" si="0"/>
        <v>52575117.740000002</v>
      </c>
    </row>
    <row r="15" spans="1:11" x14ac:dyDescent="0.25">
      <c r="G15">
        <v>1915</v>
      </c>
      <c r="H15" s="62">
        <v>29286856</v>
      </c>
      <c r="I15" s="62">
        <v>16693915.76</v>
      </c>
      <c r="J15" s="62">
        <v>5304135</v>
      </c>
      <c r="K15" s="63">
        <f t="shared" si="0"/>
        <v>51284906.759999998</v>
      </c>
    </row>
    <row r="16" spans="1:11" x14ac:dyDescent="0.25">
      <c r="G16">
        <v>1916</v>
      </c>
      <c r="H16" s="62">
        <v>41775333</v>
      </c>
      <c r="I16" s="62">
        <v>19442528.539999999</v>
      </c>
      <c r="J16" s="62">
        <v>5841327.5</v>
      </c>
      <c r="K16" s="63">
        <f t="shared" si="0"/>
        <v>67059189.039999999</v>
      </c>
    </row>
    <row r="17" spans="7:11" x14ac:dyDescent="0.25">
      <c r="G17">
        <v>1917</v>
      </c>
      <c r="H17" s="62">
        <v>69511699</v>
      </c>
      <c r="I17" s="62">
        <v>22931257.07</v>
      </c>
      <c r="J17" s="62">
        <v>10137357.5</v>
      </c>
      <c r="K17" s="63">
        <f t="shared" si="0"/>
        <v>102580313.56999999</v>
      </c>
    </row>
    <row r="18" spans="7:11" x14ac:dyDescent="0.25">
      <c r="G18">
        <v>1918</v>
      </c>
      <c r="H18" s="62">
        <v>95112523</v>
      </c>
      <c r="I18" s="62">
        <v>25669147.879999999</v>
      </c>
      <c r="J18" s="62">
        <v>10370212.15</v>
      </c>
      <c r="K18" s="63">
        <f t="shared" si="0"/>
        <v>131151883.03</v>
      </c>
    </row>
    <row r="19" spans="7:11" x14ac:dyDescent="0.25">
      <c r="G19">
        <v>1919</v>
      </c>
      <c r="H19" s="62">
        <v>99529635</v>
      </c>
      <c r="I19" s="62">
        <v>24178945.010000002</v>
      </c>
      <c r="J19" s="62">
        <v>22868376.100000001</v>
      </c>
      <c r="K19" s="63">
        <f t="shared" si="0"/>
        <v>146576956.11000001</v>
      </c>
    </row>
    <row r="20" spans="7:11" x14ac:dyDescent="0.25">
      <c r="G20">
        <v>1920</v>
      </c>
      <c r="H20" s="62">
        <v>66475215</v>
      </c>
      <c r="I20" s="62">
        <v>24745082.68</v>
      </c>
      <c r="J20" s="62">
        <v>33268941.949999999</v>
      </c>
      <c r="K20" s="63">
        <f t="shared" si="0"/>
        <v>124489239.63000001</v>
      </c>
    </row>
    <row r="21" spans="7:11" x14ac:dyDescent="0.25">
      <c r="G21">
        <v>1921</v>
      </c>
      <c r="H21" s="62">
        <v>39611616.299999997</v>
      </c>
      <c r="I21" s="62">
        <v>21812451.850000001</v>
      </c>
      <c r="J21" s="62">
        <v>42237751.75</v>
      </c>
      <c r="K21" s="63">
        <f t="shared" si="0"/>
        <v>103661819.90000001</v>
      </c>
    </row>
    <row r="22" spans="7:11" x14ac:dyDescent="0.25">
      <c r="G22">
        <v>1922</v>
      </c>
      <c r="H22" s="62">
        <v>36038354</v>
      </c>
      <c r="I22" s="62">
        <v>19787533.495000001</v>
      </c>
      <c r="J22" s="62">
        <v>41391580.200000003</v>
      </c>
      <c r="K22" s="63">
        <f t="shared" si="0"/>
        <v>97217467.695000008</v>
      </c>
    </row>
    <row r="23" spans="7:11" x14ac:dyDescent="0.25">
      <c r="G23">
        <v>1923</v>
      </c>
      <c r="H23" s="62">
        <v>49470183</v>
      </c>
      <c r="I23" s="62">
        <v>19590313.550000001</v>
      </c>
      <c r="J23" s="62">
        <v>41328836.700000003</v>
      </c>
      <c r="K23" s="63">
        <f t="shared" si="0"/>
        <v>110389333.25</v>
      </c>
    </row>
    <row r="24" spans="7:11" x14ac:dyDescent="0.25">
      <c r="G24">
        <v>1924</v>
      </c>
      <c r="H24" s="62">
        <v>62853582</v>
      </c>
      <c r="I24" s="62">
        <v>19822339.489999998</v>
      </c>
      <c r="J24" s="62">
        <v>41304059.200000003</v>
      </c>
      <c r="K24" s="63">
        <f t="shared" si="0"/>
        <v>123979980.69</v>
      </c>
    </row>
    <row r="25" spans="7:11" x14ac:dyDescent="0.25">
      <c r="G25">
        <v>1925</v>
      </c>
      <c r="H25" s="62">
        <v>71646912</v>
      </c>
      <c r="I25" s="62">
        <v>20933676.585000001</v>
      </c>
      <c r="J25" s="62">
        <v>39620984.200000003</v>
      </c>
      <c r="K25" s="63">
        <f t="shared" si="0"/>
        <v>132201572.78500001</v>
      </c>
    </row>
    <row r="26" spans="7:11" x14ac:dyDescent="0.25">
      <c r="G26">
        <v>1926</v>
      </c>
      <c r="H26" s="62">
        <v>66482914</v>
      </c>
      <c r="I26" s="62">
        <v>21150672.024999999</v>
      </c>
      <c r="J26" s="62">
        <v>36011683</v>
      </c>
      <c r="K26" s="63">
        <f t="shared" si="0"/>
        <v>123645269.02500001</v>
      </c>
    </row>
    <row r="27" spans="7:11" x14ac:dyDescent="0.25">
      <c r="G27">
        <v>1927</v>
      </c>
      <c r="H27" s="62">
        <v>75557456</v>
      </c>
      <c r="I27" s="62">
        <v>21210934.425000001</v>
      </c>
      <c r="J27" s="62">
        <v>30677698.699999999</v>
      </c>
      <c r="K27" s="63">
        <f t="shared" si="0"/>
        <v>127446089.125</v>
      </c>
    </row>
    <row r="28" spans="7:11" x14ac:dyDescent="0.25">
      <c r="G28">
        <v>1928</v>
      </c>
      <c r="H28" s="62">
        <v>84053032</v>
      </c>
      <c r="I28" s="62">
        <v>21673280.550000001</v>
      </c>
      <c r="J28" s="62">
        <v>23894245</v>
      </c>
      <c r="K28" s="63">
        <f t="shared" si="0"/>
        <v>129620557.55</v>
      </c>
    </row>
    <row r="29" spans="7:11" x14ac:dyDescent="0.25">
      <c r="G29">
        <v>1929</v>
      </c>
      <c r="H29" s="62">
        <v>83378320</v>
      </c>
      <c r="I29" s="62">
        <v>21580649.57</v>
      </c>
      <c r="J29" s="62">
        <v>18579100.100000001</v>
      </c>
      <c r="K29" s="63">
        <f t="shared" si="0"/>
        <v>123538069.66999999</v>
      </c>
    </row>
    <row r="30" spans="7:11" x14ac:dyDescent="0.25">
      <c r="G30">
        <v>1930</v>
      </c>
      <c r="H30" s="62">
        <v>71195566</v>
      </c>
      <c r="I30" s="62">
        <v>20418479.32</v>
      </c>
      <c r="J30" s="62">
        <v>16904359.099999998</v>
      </c>
      <c r="K30" s="63">
        <f t="shared" si="0"/>
        <v>108518404.41999999</v>
      </c>
    </row>
    <row r="31" spans="7:11" x14ac:dyDescent="0.25">
      <c r="G31">
        <v>1931</v>
      </c>
      <c r="H31" s="62">
        <v>64781483</v>
      </c>
      <c r="I31" s="62">
        <v>18940439.170000002</v>
      </c>
      <c r="J31" s="62">
        <v>15324414.5</v>
      </c>
      <c r="K31" s="63">
        <f t="shared" si="0"/>
        <v>99046336.670000002</v>
      </c>
    </row>
    <row r="32" spans="7:11" x14ac:dyDescent="0.25">
      <c r="G32">
        <v>1932</v>
      </c>
      <c r="H32" s="62">
        <v>54353268</v>
      </c>
      <c r="I32" s="62">
        <v>17855195.030000001</v>
      </c>
      <c r="J32" s="62">
        <v>16359296.67</v>
      </c>
      <c r="K32" s="63">
        <f t="shared" si="0"/>
        <v>88567759.700000003</v>
      </c>
    </row>
    <row r="33" spans="7:11" x14ac:dyDescent="0.25">
      <c r="G33">
        <v>1933</v>
      </c>
      <c r="H33" s="62">
        <v>66325056</v>
      </c>
      <c r="I33" s="62">
        <v>18029982.59</v>
      </c>
      <c r="J33" s="62">
        <v>15587649.369999999</v>
      </c>
      <c r="K33" s="63">
        <f t="shared" si="0"/>
        <v>99942687.960000008</v>
      </c>
    </row>
    <row r="34" spans="7:11" x14ac:dyDescent="0.25">
      <c r="G34">
        <v>1934</v>
      </c>
      <c r="H34" s="62">
        <v>68780395</v>
      </c>
      <c r="I34" s="62">
        <v>18349110.07</v>
      </c>
      <c r="J34" s="62">
        <v>14262914.869999999</v>
      </c>
      <c r="K34" s="63">
        <f t="shared" si="0"/>
        <v>101392419.94</v>
      </c>
    </row>
    <row r="35" spans="7:11" x14ac:dyDescent="0.25">
      <c r="G35">
        <v>1935</v>
      </c>
      <c r="H35" s="62">
        <v>86548756</v>
      </c>
      <c r="I35" s="62">
        <v>18770541.649999999</v>
      </c>
      <c r="J35" s="62">
        <v>11403395.27</v>
      </c>
      <c r="K35" s="63">
        <f t="shared" si="0"/>
        <v>116722692.92</v>
      </c>
    </row>
    <row r="36" spans="7:11" x14ac:dyDescent="0.25">
      <c r="G36">
        <v>1936</v>
      </c>
      <c r="H36" s="62">
        <v>108245557</v>
      </c>
      <c r="I36" s="62">
        <v>19832398.949999999</v>
      </c>
      <c r="J36" s="62">
        <v>11686065.42</v>
      </c>
      <c r="K36" s="63">
        <f t="shared" si="0"/>
        <v>139764021.37</v>
      </c>
    </row>
    <row r="37" spans="7:11" x14ac:dyDescent="0.25">
      <c r="G37">
        <v>1937</v>
      </c>
      <c r="H37" s="62">
        <v>127609788</v>
      </c>
      <c r="I37" s="62">
        <v>22202645.920000002</v>
      </c>
      <c r="J37" s="62">
        <v>11676992.470000001</v>
      </c>
      <c r="K37" s="63">
        <f t="shared" si="0"/>
        <v>161489426.39000002</v>
      </c>
    </row>
    <row r="38" spans="7:11" x14ac:dyDescent="0.25">
      <c r="G38">
        <v>1938</v>
      </c>
      <c r="H38" s="62">
        <v>174399322</v>
      </c>
      <c r="I38" s="62">
        <v>22562309.57</v>
      </c>
      <c r="J38" s="62">
        <v>8476260.4699999988</v>
      </c>
      <c r="K38" s="63">
        <f t="shared" si="0"/>
        <v>205437892.03999999</v>
      </c>
    </row>
    <row r="39" spans="7:11" x14ac:dyDescent="0.25">
      <c r="G39">
        <v>1939</v>
      </c>
      <c r="H39" s="62">
        <v>162078886</v>
      </c>
      <c r="I39" s="62">
        <v>22990914.629999995</v>
      </c>
      <c r="J39" s="62">
        <v>6682249.4699999997</v>
      </c>
      <c r="K39" s="63">
        <f t="shared" si="0"/>
        <v>191752050.09999999</v>
      </c>
    </row>
    <row r="40" spans="7:11" x14ac:dyDescent="0.25">
      <c r="G40">
        <v>1940</v>
      </c>
      <c r="H40" s="62">
        <v>155463462</v>
      </c>
      <c r="I40" s="62">
        <v>22765947.91</v>
      </c>
      <c r="J40" s="62">
        <v>4888238.4700000007</v>
      </c>
      <c r="K40" s="63">
        <f t="shared" si="0"/>
        <v>183117648.38</v>
      </c>
    </row>
    <row r="41" spans="7:11" x14ac:dyDescent="0.25">
      <c r="G41">
        <v>1941</v>
      </c>
      <c r="H41" s="62">
        <v>155800000</v>
      </c>
      <c r="I41" s="62">
        <v>22497675</v>
      </c>
      <c r="J41" s="62">
        <v>4802325</v>
      </c>
      <c r="K41" s="63">
        <f t="shared" si="0"/>
        <v>183100000</v>
      </c>
    </row>
    <row r="99" spans="8:8" x14ac:dyDescent="0.25">
      <c r="H99" s="171">
        <v>762147712</v>
      </c>
    </row>
    <row r="100" spans="8:8" x14ac:dyDescent="0.25">
      <c r="H100" s="171">
        <v>818500000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5" x14ac:dyDescent="0.25"/>
  <cols>
    <col min="2" max="2" width="19.140625" customWidth="1"/>
    <col min="3" max="3" width="14.85546875" customWidth="1"/>
    <col min="6" max="6" width="17.42578125" customWidth="1"/>
    <col min="7" max="7" width="18.28515625" customWidth="1"/>
  </cols>
  <sheetData>
    <row r="1" spans="1:7" ht="18.75" x14ac:dyDescent="0.3">
      <c r="A1" s="44" t="s">
        <v>105</v>
      </c>
    </row>
    <row r="3" spans="1:7" x14ac:dyDescent="0.25">
      <c r="A3" t="s">
        <v>32</v>
      </c>
      <c r="B3" t="s">
        <v>7</v>
      </c>
      <c r="C3" t="s">
        <v>102</v>
      </c>
      <c r="E3" t="s">
        <v>32</v>
      </c>
      <c r="F3" t="s">
        <v>7</v>
      </c>
      <c r="G3" t="s">
        <v>102</v>
      </c>
    </row>
    <row r="4" spans="1:7" x14ac:dyDescent="0.25">
      <c r="A4">
        <v>1920</v>
      </c>
      <c r="B4" s="290">
        <f>431405077/1000000</f>
        <v>431.40507700000001</v>
      </c>
      <c r="C4" s="291">
        <f>116023840.77/1000000</f>
        <v>116.02384076999999</v>
      </c>
      <c r="D4" s="221"/>
      <c r="E4" s="221">
        <v>1930</v>
      </c>
      <c r="F4" s="221">
        <f>259555056.97/1000000</f>
        <v>259.55505697000001</v>
      </c>
      <c r="G4" s="291">
        <f>92426181.99/1000000</f>
        <v>92.426181989999989</v>
      </c>
    </row>
    <row r="5" spans="1:7" x14ac:dyDescent="0.25">
      <c r="A5">
        <v>1921</v>
      </c>
      <c r="B5" s="290">
        <f>380502650.14/1000000</f>
        <v>380.50265013999996</v>
      </c>
      <c r="C5" s="291">
        <f>131507519.23/1000000</f>
        <v>131.50751923000001</v>
      </c>
      <c r="D5" s="221"/>
      <c r="E5" s="221">
        <v>1931</v>
      </c>
      <c r="F5" s="221">
        <f>251621975.73/1000000</f>
        <v>251.62197573</v>
      </c>
      <c r="G5" s="291">
        <f>82133411.43/1000000</f>
        <v>82.13341143000001</v>
      </c>
    </row>
    <row r="6" spans="1:7" x14ac:dyDescent="0.25">
      <c r="A6">
        <v>1922</v>
      </c>
      <c r="B6" s="290">
        <f>326203461.18/1000000</f>
        <v>326.20346118000003</v>
      </c>
      <c r="C6" s="291">
        <f>149717446.34/1000000</f>
        <v>149.71744634000001</v>
      </c>
      <c r="D6" s="221"/>
      <c r="E6" s="221">
        <v>1932</v>
      </c>
      <c r="F6" s="221">
        <f>253391276.69/1000000</f>
        <v>253.39127668999998</v>
      </c>
      <c r="G6" s="291">
        <f>72110827.73/1000000</f>
        <v>72.110827730000011</v>
      </c>
    </row>
    <row r="7" spans="1:7" x14ac:dyDescent="0.25">
      <c r="A7">
        <v>1923</v>
      </c>
      <c r="B7" s="290">
        <f>338057989.05/1000000</f>
        <v>338.05798905</v>
      </c>
      <c r="C7" s="291">
        <f>138202721.55/1000000</f>
        <v>138.20272155000001</v>
      </c>
      <c r="D7" s="221"/>
      <c r="E7" s="221">
        <v>1933</v>
      </c>
      <c r="F7" s="221">
        <f>267566462.75/1000000</f>
        <v>267.56646275000003</v>
      </c>
      <c r="G7" s="291">
        <f>70015053.18/1000000</f>
        <v>70.01505318000001</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zoomScaleNormal="100" workbookViewId="0">
      <pane xSplit="1" ySplit="2" topLeftCell="B67" activePane="bottomRight" state="frozen"/>
      <selection pane="topRight" activeCell="B1" sqref="B1"/>
      <selection pane="bottomLeft" activeCell="A3" sqref="A3"/>
      <selection pane="bottomRight" activeCell="C68" sqref="C68"/>
    </sheetView>
  </sheetViews>
  <sheetFormatPr defaultRowHeight="15" x14ac:dyDescent="0.25"/>
  <cols>
    <col min="1" max="1" width="53" customWidth="1"/>
    <col min="2" max="46" width="16.7109375" style="70" customWidth="1"/>
  </cols>
  <sheetData>
    <row r="1" spans="1:46" s="43" customFormat="1" ht="18.75" x14ac:dyDescent="0.3">
      <c r="A1" s="44" t="s">
        <v>92</v>
      </c>
      <c r="B1" s="43">
        <v>1904</v>
      </c>
      <c r="C1" s="43">
        <v>1905</v>
      </c>
      <c r="D1" s="43">
        <v>1906</v>
      </c>
      <c r="E1" s="43">
        <v>1907</v>
      </c>
      <c r="F1" s="43">
        <v>1908</v>
      </c>
      <c r="G1" s="43">
        <v>1909</v>
      </c>
      <c r="H1" s="43">
        <v>1910</v>
      </c>
      <c r="I1" s="43">
        <v>1911</v>
      </c>
      <c r="J1" s="43">
        <v>1912</v>
      </c>
      <c r="K1" s="43">
        <v>1913</v>
      </c>
      <c r="L1" s="43">
        <v>1914</v>
      </c>
      <c r="M1" s="43">
        <v>1915</v>
      </c>
      <c r="N1" s="43">
        <v>1916</v>
      </c>
      <c r="O1" s="43">
        <v>1917</v>
      </c>
      <c r="P1" s="43">
        <v>1918</v>
      </c>
      <c r="Q1" s="43">
        <v>1919</v>
      </c>
      <c r="R1" s="43">
        <v>1920</v>
      </c>
      <c r="S1" s="43">
        <v>1921</v>
      </c>
      <c r="T1" s="43">
        <v>1922</v>
      </c>
      <c r="U1" s="43">
        <v>1923</v>
      </c>
      <c r="V1" s="43">
        <v>1924</v>
      </c>
      <c r="W1" s="43">
        <v>1925</v>
      </c>
      <c r="X1" s="43">
        <v>1926</v>
      </c>
      <c r="Y1" s="43">
        <v>1927</v>
      </c>
      <c r="Z1" s="43">
        <v>1928</v>
      </c>
      <c r="AA1" s="43">
        <v>1929</v>
      </c>
      <c r="AB1" s="43">
        <v>1930</v>
      </c>
      <c r="AC1" s="43">
        <v>1931</v>
      </c>
      <c r="AD1" s="43">
        <v>1932</v>
      </c>
      <c r="AE1" s="43">
        <v>1933</v>
      </c>
      <c r="AF1" s="43">
        <v>1934</v>
      </c>
      <c r="AG1" s="43">
        <v>1935</v>
      </c>
      <c r="AH1" s="43">
        <v>1936</v>
      </c>
      <c r="AI1" s="43">
        <v>1937</v>
      </c>
      <c r="AJ1" s="43">
        <v>1938</v>
      </c>
      <c r="AK1" s="43">
        <v>1939</v>
      </c>
      <c r="AL1" s="43">
        <v>1940</v>
      </c>
      <c r="AM1" s="43">
        <v>1941</v>
      </c>
      <c r="AN1" s="43">
        <v>1942</v>
      </c>
      <c r="AO1" s="43">
        <v>1943</v>
      </c>
      <c r="AP1" s="43">
        <v>1944</v>
      </c>
      <c r="AQ1" s="43">
        <v>1945</v>
      </c>
      <c r="AR1" s="43">
        <v>1946</v>
      </c>
      <c r="AS1" s="43">
        <v>1947</v>
      </c>
      <c r="AT1" s="43">
        <v>1948</v>
      </c>
    </row>
    <row r="2" spans="1:46" s="51" customFormat="1" x14ac:dyDescent="0.25">
      <c r="A2" s="52" t="s">
        <v>50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row>
    <row r="3" spans="1:46" s="43" customFormat="1" x14ac:dyDescent="0.25">
      <c r="A3" s="43" t="s">
        <v>76</v>
      </c>
      <c r="B3" s="43">
        <v>1904</v>
      </c>
      <c r="C3" s="43">
        <v>1905</v>
      </c>
      <c r="D3" s="43">
        <v>1906</v>
      </c>
      <c r="E3" s="43">
        <v>1907</v>
      </c>
      <c r="F3" s="43">
        <v>1908</v>
      </c>
      <c r="G3" s="43">
        <v>1909</v>
      </c>
      <c r="H3" s="43">
        <v>1910</v>
      </c>
      <c r="I3" s="43">
        <v>1911</v>
      </c>
      <c r="J3" s="43">
        <v>1912</v>
      </c>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row>
    <row r="4" spans="1:46" x14ac:dyDescent="0.25">
      <c r="A4" s="23" t="s">
        <v>75</v>
      </c>
      <c r="B4" s="25">
        <v>9057127</v>
      </c>
      <c r="C4" s="25">
        <v>28160667</v>
      </c>
      <c r="D4" s="25">
        <v>31209037</v>
      </c>
      <c r="E4" s="25">
        <v>42814315.25</v>
      </c>
      <c r="F4" s="25">
        <v>40337982.039999999</v>
      </c>
      <c r="G4" s="25">
        <v>41528607.740000002</v>
      </c>
      <c r="H4" s="25">
        <v>48754697.359999999</v>
      </c>
      <c r="I4" s="25">
        <v>48155587.149999999</v>
      </c>
      <c r="J4" s="25">
        <v>52055892.969999999</v>
      </c>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row>
    <row r="5" spans="1:46" x14ac:dyDescent="0.25">
      <c r="A5" s="43" t="s">
        <v>77</v>
      </c>
      <c r="B5" s="9">
        <f>'Annual Currency Data'!D29*308.66</f>
        <v>943612819.82000005</v>
      </c>
      <c r="C5" s="9">
        <f>'Annual Currency Data'!E29*308.66</f>
        <v>5468355444.4200001</v>
      </c>
      <c r="D5" s="9">
        <f>'Annual Currency Data'!F29*308.66</f>
        <v>5185190791.2860012</v>
      </c>
      <c r="E5" s="9">
        <f>'Annual Currency Data'!G29*308.66</f>
        <v>7033083624.7650003</v>
      </c>
      <c r="F5" s="9">
        <f>'Annual Currency Data'!H29*308.66</f>
        <v>6114866976.2664003</v>
      </c>
      <c r="G5" s="9">
        <f>'Annual Currency Data'!I29*308.66</f>
        <v>5720094709.9493999</v>
      </c>
      <c r="H5" s="9">
        <f>'Annual Currency Data'!J29*308.66</f>
        <v>6381475684.1946001</v>
      </c>
      <c r="I5" s="9">
        <f>'Annual Currency Data'!K29*308.66</f>
        <v>5880190417.0174007</v>
      </c>
      <c r="J5" s="9">
        <f>'Annual Currency Data'!L29*308.66</f>
        <v>6117617541.2110014</v>
      </c>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row>
    <row r="6" spans="1:46" x14ac:dyDescent="0.25">
      <c r="A6" s="43" t="s">
        <v>78</v>
      </c>
      <c r="B6" s="70">
        <v>35.700000000000003</v>
      </c>
      <c r="C6" s="70">
        <v>33.869999999999997</v>
      </c>
      <c r="D6" s="70">
        <v>30.54</v>
      </c>
      <c r="E6" s="70">
        <v>31.24</v>
      </c>
      <c r="F6" s="70">
        <v>38.64</v>
      </c>
      <c r="G6" s="70">
        <v>39.74</v>
      </c>
      <c r="H6" s="70">
        <v>38.22</v>
      </c>
      <c r="I6" s="70">
        <v>38.33</v>
      </c>
      <c r="J6" s="70">
        <v>33.619999999999997</v>
      </c>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row>
    <row r="7" spans="1:46" s="43" customFormat="1" x14ac:dyDescent="0.25">
      <c r="A7" s="43" t="s">
        <v>79</v>
      </c>
      <c r="B7" s="9">
        <f>B5/(B6*11.6)</f>
        <v>2278597.5558292284</v>
      </c>
      <c r="C7" s="9">
        <f t="shared" ref="C7:J7" si="0">C5/(C6*11.6)</f>
        <v>13918215.296875479</v>
      </c>
      <c r="D7" s="9">
        <f t="shared" si="0"/>
        <v>14636516.245754585</v>
      </c>
      <c r="E7" s="9">
        <f t="shared" si="0"/>
        <v>19407820.501912341</v>
      </c>
      <c r="F7" s="9">
        <f t="shared" si="0"/>
        <v>13642435.425738918</v>
      </c>
      <c r="G7" s="9">
        <f t="shared" si="0"/>
        <v>12408445.217077816</v>
      </c>
      <c r="H7" s="9">
        <f t="shared" si="0"/>
        <v>14393700.0040478</v>
      </c>
      <c r="I7" s="9">
        <f t="shared" si="0"/>
        <v>13224966.527113454</v>
      </c>
      <c r="J7" s="9">
        <f t="shared" si="0"/>
        <v>15686520.59839946</v>
      </c>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row>
    <row r="8" spans="1:46" x14ac:dyDescent="0.25">
      <c r="A8" s="43" t="s">
        <v>80</v>
      </c>
      <c r="B8" s="35">
        <f>B4-B7</f>
        <v>6778529.4441707712</v>
      </c>
      <c r="C8" s="35">
        <f t="shared" ref="C8:J8" si="1">C4-C7</f>
        <v>14242451.703124521</v>
      </c>
      <c r="D8" s="35">
        <f t="shared" si="1"/>
        <v>16572520.754245415</v>
      </c>
      <c r="E8" s="35">
        <f t="shared" si="1"/>
        <v>23406494.748087659</v>
      </c>
      <c r="F8" s="35">
        <f t="shared" si="1"/>
        <v>26695546.614261083</v>
      </c>
      <c r="G8" s="35">
        <f t="shared" si="1"/>
        <v>29120162.522922188</v>
      </c>
      <c r="H8" s="35">
        <f t="shared" si="1"/>
        <v>34360997.355952203</v>
      </c>
      <c r="I8" s="35">
        <f t="shared" si="1"/>
        <v>34930620.622886546</v>
      </c>
      <c r="J8" s="35">
        <f t="shared" si="1"/>
        <v>36369372.371600538</v>
      </c>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row>
    <row r="9" spans="1:46" x14ac:dyDescent="0.25">
      <c r="A9" s="43" t="s">
        <v>81</v>
      </c>
      <c r="B9" s="35">
        <f>'Currency Funds'!D93</f>
        <v>9263591.1999999993</v>
      </c>
      <c r="C9" s="35">
        <f>'Currency Funds'!E93</f>
        <v>7368704.3600000003</v>
      </c>
      <c r="D9" s="35">
        <f>'Currency Funds'!F93</f>
        <v>5669374.7400000002</v>
      </c>
      <c r="E9" s="35">
        <f>'Currency Funds'!G93</f>
        <v>532273.36</v>
      </c>
      <c r="F9" s="35">
        <f>'Currency Funds'!H93</f>
        <v>16101646.359999999</v>
      </c>
      <c r="G9" s="35">
        <f>'Currency Funds'!I93</f>
        <v>17757526.390000001</v>
      </c>
      <c r="H9" s="35">
        <f>'Currency Funds'!J93</f>
        <v>19339000</v>
      </c>
      <c r="I9" s="35">
        <f>'Currency Funds'!K125</f>
        <v>20620196.059999999</v>
      </c>
      <c r="J9" s="192">
        <f>'Currency Funds'!L125</f>
        <v>18271940.77</v>
      </c>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6" x14ac:dyDescent="0.25">
      <c r="A10" s="43" t="s">
        <v>62</v>
      </c>
      <c r="B10" s="192">
        <f>'Currency Funds'!D15</f>
        <v>23365608.159785699</v>
      </c>
      <c r="C10" s="192">
        <f>'Currency Funds'!E15</f>
        <v>33185603.662042066</v>
      </c>
      <c r="D10" s="192">
        <f>'Currency Funds'!F15</f>
        <v>31716929.386102363</v>
      </c>
      <c r="E10" s="192">
        <f>'Currency Funds'!G15</f>
        <v>26050559.04533726</v>
      </c>
      <c r="F10" s="192">
        <f>'Currency Funds'!H15</f>
        <v>49220032.458459988</v>
      </c>
      <c r="G10" s="192">
        <f>'Currency Funds'!I15</f>
        <v>61400396.996816039</v>
      </c>
      <c r="H10" s="192">
        <f>'Currency Funds'!J15</f>
        <v>73203518.158222958</v>
      </c>
      <c r="I10" s="192">
        <f>'Currency Funds'!K15</f>
        <v>38881129.38639573</v>
      </c>
      <c r="J10" s="192">
        <f>'Currency Funds'!L15</f>
        <v>35071313.93696744</v>
      </c>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row>
    <row r="11" spans="1:46" x14ac:dyDescent="0.25">
      <c r="A11" s="43" t="s">
        <v>82</v>
      </c>
      <c r="B11" s="192">
        <f>'Currency Funds'!D14-'Currency Funds'!D15</f>
        <v>0</v>
      </c>
      <c r="C11" s="192">
        <f>'Currency Funds'!E14-'Currency Funds'!E15</f>
        <v>0</v>
      </c>
      <c r="D11" s="192">
        <f>'Currency Funds'!F14-'Currency Funds'!F15</f>
        <v>0</v>
      </c>
      <c r="E11" s="192">
        <f>'Currency Funds'!G14-'Currency Funds'!G15</f>
        <v>751.53999999910593</v>
      </c>
      <c r="F11" s="192">
        <f>'Currency Funds'!H14-'Currency Funds'!H15</f>
        <v>0</v>
      </c>
      <c r="G11" s="192">
        <f>'Currency Funds'!I14-'Currency Funds'!I15</f>
        <v>3015338.8500000015</v>
      </c>
      <c r="H11" s="192">
        <f>'Currency Funds'!J14-'Currency Funds'!J15</f>
        <v>5129228.0700000077</v>
      </c>
      <c r="I11" s="192">
        <f>'Currency Funds'!K14-'Currency Funds'!K15</f>
        <v>5191457.9099999964</v>
      </c>
      <c r="J11" s="192">
        <f>'Currency Funds'!L14-'Currency Funds'!L15</f>
        <v>10235216.359999999</v>
      </c>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row>
    <row r="12" spans="1:46" x14ac:dyDescent="0.25">
      <c r="A12" s="43"/>
      <c r="B12" s="35"/>
      <c r="C12" s="35"/>
      <c r="D12" s="35"/>
      <c r="E12" s="35"/>
      <c r="F12" s="35"/>
      <c r="G12" s="35"/>
      <c r="H12" s="35"/>
      <c r="I12" s="35"/>
      <c r="J12" s="35"/>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row>
    <row r="13" spans="1:46" x14ac:dyDescent="0.25">
      <c r="A13" s="43" t="s">
        <v>91</v>
      </c>
      <c r="B13" s="35">
        <f>(B10/B8)*100</f>
        <v>344.70025323677049</v>
      </c>
      <c r="C13" s="35">
        <f t="shared" ref="C13:J13" si="2">(C10/C8)*100</f>
        <v>233.00485305322661</v>
      </c>
      <c r="D13" s="35">
        <f t="shared" si="2"/>
        <v>191.38264996878868</v>
      </c>
      <c r="E13" s="35">
        <f t="shared" si="2"/>
        <v>111.29628475218666</v>
      </c>
      <c r="F13" s="35">
        <f t="shared" si="2"/>
        <v>184.3754434762765</v>
      </c>
      <c r="G13" s="35">
        <f t="shared" si="2"/>
        <v>210.85183487037264</v>
      </c>
      <c r="H13" s="35">
        <f t="shared" si="2"/>
        <v>213.04247196288745</v>
      </c>
      <c r="I13" s="35">
        <f t="shared" si="2"/>
        <v>111.30958652627206</v>
      </c>
      <c r="J13" s="35">
        <f t="shared" si="2"/>
        <v>96.430902295012643</v>
      </c>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row>
    <row r="14" spans="1:46" x14ac:dyDescent="0.25">
      <c r="A14" s="43" t="s">
        <v>90</v>
      </c>
      <c r="B14" s="35">
        <f>(B11/B8)*100</f>
        <v>0</v>
      </c>
      <c r="C14" s="35">
        <f t="shared" ref="C14:J14" si="3">(C11/C8)*100</f>
        <v>0</v>
      </c>
      <c r="D14" s="35">
        <f t="shared" si="3"/>
        <v>0</v>
      </c>
      <c r="E14" s="35">
        <f>(E11/E8)*100</f>
        <v>3.2108182283915351E-3</v>
      </c>
      <c r="F14" s="35">
        <f t="shared" si="3"/>
        <v>0</v>
      </c>
      <c r="G14" s="35">
        <f t="shared" si="3"/>
        <v>10.354814632735829</v>
      </c>
      <c r="H14" s="35">
        <f t="shared" si="3"/>
        <v>14.927471449286948</v>
      </c>
      <c r="I14" s="35">
        <f t="shared" si="3"/>
        <v>14.862197743485131</v>
      </c>
      <c r="J14" s="35">
        <f t="shared" si="3"/>
        <v>28.142405800745387</v>
      </c>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row>
    <row r="15" spans="1:46" x14ac:dyDescent="0.25">
      <c r="A15" s="43" t="s">
        <v>93</v>
      </c>
      <c r="B15" s="35">
        <v>0</v>
      </c>
      <c r="C15" s="35">
        <f>(((C8-B8)/B8)*100)/(((C9-B9)/B9)*100)*100</f>
        <v>-538.30414304006013</v>
      </c>
      <c r="D15" s="35">
        <f t="shared" ref="D15:J15" si="4">(((D8-C8)/C8)*100)/(((D9-C9)/C9)*100)*100</f>
        <v>-70.941038397234863</v>
      </c>
      <c r="E15" s="35">
        <f>(((E8-D8)/D8)*100)/(((E9-D9)/D9)*100)*100</f>
        <v>-45.509470028061536</v>
      </c>
      <c r="F15" s="35">
        <f t="shared" si="4"/>
        <v>0.48039441391112575</v>
      </c>
      <c r="G15" s="35">
        <f t="shared" si="4"/>
        <v>88.317252103963568</v>
      </c>
      <c r="H15" s="35">
        <f t="shared" si="4"/>
        <v>202.08179830560806</v>
      </c>
      <c r="I15" s="35">
        <f t="shared" si="4"/>
        <v>25.023057745938527</v>
      </c>
      <c r="J15" s="35">
        <f t="shared" si="4"/>
        <v>-36.168212320051943</v>
      </c>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row>
    <row r="16" spans="1:46" x14ac:dyDescent="0.25">
      <c r="A16" s="43" t="s">
        <v>89</v>
      </c>
      <c r="B16" s="35">
        <v>0</v>
      </c>
      <c r="C16" s="35">
        <f>(((C8-B8)/B8)*100)/(((C10-B10)/B10)*100)*100</f>
        <v>261.99766509157388</v>
      </c>
      <c r="D16" s="35">
        <f t="shared" ref="D16:J16" si="5">(((D8-C8)/C8)*100)/(((D10-C10)/C10)*100)*100</f>
        <v>-369.66494596830864</v>
      </c>
      <c r="E16" s="35">
        <f t="shared" si="5"/>
        <v>-230.81866770160926</v>
      </c>
      <c r="F16" s="35">
        <f t="shared" si="5"/>
        <v>15.799204692110941</v>
      </c>
      <c r="G16" s="35">
        <f t="shared" si="5"/>
        <v>36.701662910933038</v>
      </c>
      <c r="H16" s="35">
        <f t="shared" si="5"/>
        <v>93.622663504474474</v>
      </c>
      <c r="I16" s="35">
        <f t="shared" si="5"/>
        <v>-3.5357081257374121</v>
      </c>
      <c r="J16" s="35">
        <f t="shared" si="5"/>
        <v>-42.03533330921249</v>
      </c>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row>
    <row r="17" spans="1:46" x14ac:dyDescent="0.25">
      <c r="A17" s="43"/>
      <c r="B17" s="35"/>
      <c r="C17" s="35"/>
      <c r="D17" s="35"/>
      <c r="E17" s="35"/>
      <c r="F17" s="35"/>
      <c r="G17" s="35"/>
      <c r="H17" s="35"/>
      <c r="I17" s="35"/>
      <c r="J17" s="35"/>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row>
    <row r="18" spans="1:46" s="51" customFormat="1" x14ac:dyDescent="0.25">
      <c r="A18" s="52" t="s">
        <v>87</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row>
    <row r="19" spans="1:46" s="70" customFormat="1" x14ac:dyDescent="0.25">
      <c r="A19" s="70" t="s">
        <v>76</v>
      </c>
      <c r="B19" s="72"/>
      <c r="C19" s="72"/>
      <c r="D19" s="72"/>
      <c r="E19" s="72"/>
      <c r="F19" s="72"/>
      <c r="G19" s="72"/>
      <c r="H19" s="72"/>
      <c r="I19" s="72"/>
      <c r="J19" s="72"/>
      <c r="K19" s="70">
        <v>1913</v>
      </c>
      <c r="L19" s="70">
        <v>1914</v>
      </c>
      <c r="M19" s="70">
        <v>1915</v>
      </c>
      <c r="N19" s="70">
        <v>1916</v>
      </c>
      <c r="O19" s="70">
        <v>1917</v>
      </c>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row>
    <row r="20" spans="1:46" x14ac:dyDescent="0.25">
      <c r="A20" s="23" t="s">
        <v>75</v>
      </c>
      <c r="B20" s="73"/>
      <c r="C20" s="73"/>
      <c r="D20" s="73"/>
      <c r="E20" s="73"/>
      <c r="F20" s="73"/>
      <c r="G20" s="73"/>
      <c r="H20" s="73"/>
      <c r="I20" s="73"/>
      <c r="J20" s="73"/>
      <c r="K20" s="25">
        <v>52054388.719999999</v>
      </c>
      <c r="L20" s="25">
        <v>52575117.740000002</v>
      </c>
      <c r="M20" s="25">
        <v>51284906.759999998</v>
      </c>
      <c r="N20" s="25">
        <v>67509189</v>
      </c>
      <c r="O20" s="25">
        <v>102580314</v>
      </c>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row>
    <row r="21" spans="1:46" x14ac:dyDescent="0.25">
      <c r="A21" s="43" t="s">
        <v>77</v>
      </c>
      <c r="B21" s="72"/>
      <c r="C21" s="72"/>
      <c r="D21" s="72"/>
      <c r="E21" s="72"/>
      <c r="F21" s="72"/>
      <c r="G21" s="72"/>
      <c r="H21" s="72"/>
      <c r="I21" s="72"/>
      <c r="J21" s="72"/>
      <c r="K21" s="9">
        <f>'Annual Currency Data'!M29*308.66</f>
        <v>5683111787.9272013</v>
      </c>
      <c r="L21" s="9">
        <f>'Annual Currency Data'!N29*308.66</f>
        <v>5291769493.5138006</v>
      </c>
      <c r="M21" s="9">
        <f>'Annual Currency Data'!O29*308.66</f>
        <v>5152744038.4816008</v>
      </c>
      <c r="N21" s="9">
        <f>'Annual Currency Data'!P29*308.66</f>
        <v>6001130859.1564007</v>
      </c>
      <c r="O21" s="9">
        <f>'Annual Currency Data'!Q29*308.66</f>
        <v>7077961807.2262011</v>
      </c>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row>
    <row r="22" spans="1:46" x14ac:dyDescent="0.25">
      <c r="A22" s="43" t="s">
        <v>78</v>
      </c>
      <c r="B22" s="72"/>
      <c r="C22" s="72"/>
      <c r="D22" s="72"/>
      <c r="E22" s="72"/>
      <c r="F22" s="72"/>
      <c r="G22" s="72"/>
      <c r="H22" s="72"/>
      <c r="I22" s="72"/>
      <c r="J22" s="72"/>
      <c r="K22" s="70">
        <v>34.19</v>
      </c>
      <c r="L22" s="70">
        <v>37.369999999999997</v>
      </c>
      <c r="M22" s="70">
        <v>40.479999999999997</v>
      </c>
      <c r="N22" s="70">
        <v>30.78</v>
      </c>
      <c r="O22" s="70">
        <v>24.61</v>
      </c>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row>
    <row r="23" spans="1:46" x14ac:dyDescent="0.25">
      <c r="A23" s="43" t="s">
        <v>79</v>
      </c>
      <c r="B23" s="72"/>
      <c r="C23" s="72"/>
      <c r="D23" s="72"/>
      <c r="E23" s="72"/>
      <c r="F23" s="72"/>
      <c r="G23" s="72"/>
      <c r="H23" s="72"/>
      <c r="I23" s="72"/>
      <c r="J23" s="72"/>
      <c r="K23" s="9">
        <f>K21/(K22*11.6)</f>
        <v>14329436.384724313</v>
      </c>
      <c r="L23" s="9">
        <f>L21/(L22*11.6)</f>
        <v>12207306.002218729</v>
      </c>
      <c r="M23" s="9">
        <f>M21/(M22*11.6)</f>
        <v>10973371.350862073</v>
      </c>
      <c r="N23" s="9">
        <f>N21/(N22*11.6)</f>
        <v>16807630.512301989</v>
      </c>
      <c r="O23" s="9">
        <f>O21/(O22*11.6)</f>
        <v>24793544.141105387</v>
      </c>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row>
    <row r="24" spans="1:46" x14ac:dyDescent="0.25">
      <c r="A24" s="43" t="s">
        <v>103</v>
      </c>
      <c r="B24" s="72"/>
      <c r="C24" s="72"/>
      <c r="D24" s="72"/>
      <c r="E24" s="72"/>
      <c r="F24" s="72"/>
      <c r="G24" s="72"/>
      <c r="H24" s="72"/>
      <c r="I24" s="72"/>
      <c r="J24" s="72"/>
      <c r="K24" s="35">
        <f>K20-K23</f>
        <v>37724952.335275687</v>
      </c>
      <c r="L24" s="35">
        <f>L20-L23</f>
        <v>40367811.737781271</v>
      </c>
      <c r="M24" s="35">
        <f>M20-M23</f>
        <v>40311535.409137927</v>
      </c>
      <c r="N24" s="35">
        <f>N20-N23</f>
        <v>50701558.487698011</v>
      </c>
      <c r="O24" s="35">
        <f>O20-O23</f>
        <v>77786769.858894616</v>
      </c>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row>
    <row r="25" spans="1:46" x14ac:dyDescent="0.25">
      <c r="A25" s="43" t="s">
        <v>104</v>
      </c>
      <c r="B25" s="72"/>
      <c r="C25" s="72"/>
      <c r="D25" s="72"/>
      <c r="E25" s="72"/>
      <c r="F25" s="72"/>
      <c r="G25" s="72"/>
      <c r="H25" s="72"/>
      <c r="I25" s="72"/>
      <c r="J25" s="72"/>
      <c r="K25" s="35">
        <f>'Currency Funds'!M125</f>
        <v>18369357.219999999</v>
      </c>
      <c r="L25" s="192">
        <f>'Currency Funds'!N125</f>
        <v>18456189.449999999</v>
      </c>
      <c r="M25" s="192">
        <f>'Currency Funds'!O125</f>
        <v>18519489.120000001</v>
      </c>
      <c r="N25" s="192">
        <f>'Currency Funds'!P125</f>
        <v>13391238.02</v>
      </c>
      <c r="O25" s="192">
        <f>'Currency Funds'!Q125</f>
        <v>13473820.82</v>
      </c>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row>
    <row r="26" spans="1:46" x14ac:dyDescent="0.25">
      <c r="A26" s="43" t="s">
        <v>62</v>
      </c>
      <c r="B26" s="72"/>
      <c r="C26" s="72"/>
      <c r="D26" s="72"/>
      <c r="E26" s="72"/>
      <c r="F26" s="72"/>
      <c r="G26" s="72"/>
      <c r="H26" s="72"/>
      <c r="I26" s="72"/>
      <c r="J26" s="72"/>
      <c r="K26" s="192">
        <f>'Currency Funds'!M15</f>
        <v>30239414.884268042</v>
      </c>
      <c r="L26" s="192">
        <f>'Currency Funds'!N15</f>
        <v>17869677.672893479</v>
      </c>
      <c r="M26" s="192">
        <f>'Currency Funds'!O15</f>
        <v>16885535.431443632</v>
      </c>
      <c r="N26" s="192">
        <f>'Currency Funds'!P15</f>
        <v>42518210.169433311</v>
      </c>
      <c r="O26" s="192">
        <f>'Currency Funds'!Q15</f>
        <v>76028975.447318569</v>
      </c>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row>
    <row r="27" spans="1:46" x14ac:dyDescent="0.25">
      <c r="A27" s="43" t="s">
        <v>82</v>
      </c>
      <c r="B27" s="72"/>
      <c r="C27" s="72"/>
      <c r="D27" s="72"/>
      <c r="E27" s="72"/>
      <c r="F27" s="72"/>
      <c r="G27" s="72"/>
      <c r="H27" s="72"/>
      <c r="I27" s="72"/>
      <c r="J27" s="72"/>
      <c r="K27" s="192">
        <f>'Currency Funds'!M14-'Currency Funds'!M15</f>
        <v>9025057.9199999981</v>
      </c>
      <c r="L27" s="192">
        <f>'Currency Funds'!N14-'Currency Funds'!N15</f>
        <v>12951223.41</v>
      </c>
      <c r="M27" s="192">
        <f>'Currency Funds'!O14-'Currency Funds'!O15</f>
        <v>16645872.25</v>
      </c>
      <c r="N27" s="192">
        <f>'Currency Funds'!P14-'Currency Funds'!P15</f>
        <v>26509496.129999995</v>
      </c>
      <c r="O27" s="192">
        <f>'Currency Funds'!Q14-'Currency Funds'!Q15</f>
        <v>44553276.979999989</v>
      </c>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row>
    <row r="28" spans="1:46" x14ac:dyDescent="0.25">
      <c r="A28" s="43"/>
      <c r="B28" s="72"/>
      <c r="C28" s="72"/>
      <c r="D28" s="72"/>
      <c r="E28" s="72"/>
      <c r="F28" s="72"/>
      <c r="G28" s="72"/>
      <c r="H28" s="72"/>
      <c r="I28" s="72"/>
      <c r="J28" s="72"/>
      <c r="K28" s="35"/>
      <c r="L28" s="35"/>
      <c r="M28" s="35"/>
      <c r="N28" s="35"/>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row>
    <row r="29" spans="1:46" x14ac:dyDescent="0.25">
      <c r="A29" s="43" t="s">
        <v>91</v>
      </c>
      <c r="B29" s="72"/>
      <c r="C29" s="72"/>
      <c r="D29" s="72"/>
      <c r="E29" s="72"/>
      <c r="F29" s="72"/>
      <c r="G29" s="72"/>
      <c r="H29" s="72"/>
      <c r="I29" s="72"/>
      <c r="J29" s="72"/>
      <c r="K29" s="35">
        <f>(K26/K24)*100</f>
        <v>80.157596000437877</v>
      </c>
      <c r="L29" s="35">
        <f t="shared" ref="L29:M29" si="6">(L26/L24)*100</f>
        <v>44.267144795883965</v>
      </c>
      <c r="M29" s="35">
        <f t="shared" si="6"/>
        <v>41.887601799498739</v>
      </c>
      <c r="N29" s="35">
        <f>(N26/N24)*100</f>
        <v>83.859769675028289</v>
      </c>
      <c r="O29" s="35">
        <f>(O26/O24)*100</f>
        <v>97.740239870141551</v>
      </c>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row>
    <row r="30" spans="1:46" x14ac:dyDescent="0.25">
      <c r="A30" s="43" t="s">
        <v>90</v>
      </c>
      <c r="B30" s="72"/>
      <c r="C30" s="72"/>
      <c r="D30" s="72"/>
      <c r="E30" s="72"/>
      <c r="F30" s="72"/>
      <c r="G30" s="72"/>
      <c r="H30" s="72"/>
      <c r="I30" s="72"/>
      <c r="J30" s="72"/>
      <c r="K30" s="35">
        <f>(K27/K24)*100</f>
        <v>23.923311658000124</v>
      </c>
      <c r="L30" s="35">
        <f t="shared" ref="L30:N30" si="7">(L27/L24)*100</f>
        <v>32.083045506969157</v>
      </c>
      <c r="M30" s="35">
        <f t="shared" si="7"/>
        <v>41.293074255431783</v>
      </c>
      <c r="N30" s="35">
        <f t="shared" si="7"/>
        <v>52.285367394440421</v>
      </c>
      <c r="O30" s="35">
        <f t="shared" ref="O30" si="8">(O27/O24)*100</f>
        <v>57.276162849826186</v>
      </c>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row>
    <row r="31" spans="1:46" x14ac:dyDescent="0.25">
      <c r="A31" s="43" t="s">
        <v>93</v>
      </c>
      <c r="B31" s="72"/>
      <c r="C31" s="72"/>
      <c r="D31" s="72"/>
      <c r="E31" s="72"/>
      <c r="F31" s="72"/>
      <c r="G31" s="72"/>
      <c r="H31" s="72"/>
      <c r="I31" s="72"/>
      <c r="J31" s="72"/>
      <c r="K31" s="35">
        <f>(((K24-J8)/J8)*100)/(((K25-J9)/J9)*100)*100</f>
        <v>699.10388276480376</v>
      </c>
      <c r="L31" s="35">
        <f>(((L24-K24)/K24)*100)/(((L25-K25)/K25)*100)*100</f>
        <v>1482.0346758395767</v>
      </c>
      <c r="M31" s="35">
        <f t="shared" ref="M31:O31" si="9">(((M24-L24)/L24)*100)/(((M25-L25)/L25)*100)*100</f>
        <v>-40.647247600797314</v>
      </c>
      <c r="N31" s="35">
        <f t="shared" si="9"/>
        <v>-93.077967723013614</v>
      </c>
      <c r="O31" s="35">
        <f t="shared" si="9"/>
        <v>8662.4760274423006</v>
      </c>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row>
    <row r="32" spans="1:46" x14ac:dyDescent="0.25">
      <c r="A32" s="43" t="s">
        <v>89</v>
      </c>
      <c r="B32" s="72"/>
      <c r="C32" s="72"/>
      <c r="D32" s="72"/>
      <c r="E32" s="72"/>
      <c r="F32" s="72"/>
      <c r="G32" s="72"/>
      <c r="H32" s="72"/>
      <c r="I32" s="72"/>
      <c r="J32" s="72"/>
      <c r="K32" s="35">
        <f>(((K24-J8)/J8)*100)/(((K26-J10)/J10)*100)*100</f>
        <v>-27.053503726905646</v>
      </c>
      <c r="L32" s="35">
        <f>(((L24-K24)/K24)*100)/(((L26-K26)/K26)*100)*100</f>
        <v>-17.126091900901457</v>
      </c>
      <c r="M32" s="35">
        <f t="shared" ref="M32:O32" si="10">(((M24-L24)/L24)*100)/(((M26-L26)/L26)*100)*100</f>
        <v>2.5313336667325932</v>
      </c>
      <c r="N32" s="35">
        <f t="shared" si="10"/>
        <v>16.978842584746182</v>
      </c>
      <c r="O32" s="35">
        <f t="shared" si="10"/>
        <v>67.779997512827364</v>
      </c>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row>
    <row r="33" spans="1:46" x14ac:dyDescent="0.25">
      <c r="A33" s="43"/>
      <c r="B33" s="72"/>
      <c r="C33" s="72"/>
      <c r="D33" s="72"/>
      <c r="E33" s="72"/>
      <c r="F33" s="72"/>
      <c r="G33" s="72"/>
      <c r="H33" s="72"/>
      <c r="I33" s="72"/>
      <c r="J33" s="72"/>
      <c r="K33" s="35"/>
      <c r="L33" s="35"/>
      <c r="M33" s="35"/>
      <c r="N33" s="35"/>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row>
    <row r="34" spans="1:46" s="51" customFormat="1" x14ac:dyDescent="0.25">
      <c r="A34" s="52" t="s">
        <v>88</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row>
    <row r="35" spans="1:46" s="70" customFormat="1" x14ac:dyDescent="0.25">
      <c r="A35" s="70" t="s">
        <v>76</v>
      </c>
      <c r="B35" s="72"/>
      <c r="C35" s="72"/>
      <c r="D35" s="72"/>
      <c r="E35" s="72"/>
      <c r="F35" s="72"/>
      <c r="G35" s="72"/>
      <c r="H35" s="72"/>
      <c r="I35" s="72"/>
      <c r="J35" s="72"/>
      <c r="K35" s="72"/>
      <c r="L35" s="72"/>
      <c r="M35" s="72"/>
      <c r="N35" s="72"/>
      <c r="O35" s="72"/>
      <c r="P35" s="70">
        <v>1918</v>
      </c>
      <c r="Q35" s="70">
        <v>1919</v>
      </c>
      <c r="R35" s="70">
        <v>1920</v>
      </c>
      <c r="S35" s="70">
        <v>1921</v>
      </c>
      <c r="T35" s="70">
        <v>1922</v>
      </c>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row>
    <row r="36" spans="1:46" x14ac:dyDescent="0.25">
      <c r="A36" s="23" t="s">
        <v>75</v>
      </c>
      <c r="B36" s="72"/>
      <c r="C36" s="72"/>
      <c r="D36" s="72"/>
      <c r="E36" s="72"/>
      <c r="F36" s="72"/>
      <c r="G36" s="72"/>
      <c r="H36" s="72"/>
      <c r="I36" s="72"/>
      <c r="J36" s="72"/>
      <c r="K36" s="72"/>
      <c r="L36" s="72"/>
      <c r="M36" s="72"/>
      <c r="N36" s="72"/>
      <c r="O36" s="72"/>
      <c r="P36" s="25">
        <v>131151883</v>
      </c>
      <c r="Q36" s="25">
        <v>146576956</v>
      </c>
      <c r="R36" s="25">
        <v>124589240</v>
      </c>
      <c r="S36" s="25">
        <v>108661820</v>
      </c>
      <c r="T36" s="25">
        <v>97217468</v>
      </c>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row>
    <row r="37" spans="1:46" x14ac:dyDescent="0.25">
      <c r="A37" s="43" t="s">
        <v>77</v>
      </c>
      <c r="B37" s="72"/>
      <c r="C37" s="72"/>
      <c r="D37" s="72"/>
      <c r="E37" s="72"/>
      <c r="F37" s="72"/>
      <c r="G37" s="72"/>
      <c r="H37" s="72"/>
      <c r="I37" s="72"/>
      <c r="J37" s="72"/>
      <c r="K37" s="72"/>
      <c r="L37" s="72"/>
      <c r="M37" s="72"/>
      <c r="N37" s="72"/>
      <c r="O37" s="72"/>
      <c r="P37" s="9">
        <f>'Annual Currency Data'!R29*308.66</f>
        <v>7923039184.6408005</v>
      </c>
      <c r="Q37" s="9">
        <f>'Annual Currency Data'!S29*308.66</f>
        <v>7463073166.7866011</v>
      </c>
      <c r="R37" s="9">
        <f>'Annual Currency Data'!T29*308.66</f>
        <v>7637817220.0088005</v>
      </c>
      <c r="S37" s="9">
        <f>'Annual Currency Data'!U29*308.66</f>
        <v>6732631388.0210009</v>
      </c>
      <c r="T37" s="9">
        <f>'Annual Currency Data'!V29*308.66</f>
        <v>6107620088.5667009</v>
      </c>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row>
    <row r="38" spans="1:46" x14ac:dyDescent="0.25">
      <c r="A38" s="43" t="s">
        <v>78</v>
      </c>
      <c r="B38" s="72"/>
      <c r="C38" s="72"/>
      <c r="D38" s="72"/>
      <c r="E38" s="72"/>
      <c r="F38" s="72"/>
      <c r="G38" s="72"/>
      <c r="H38" s="72"/>
      <c r="I38" s="72"/>
      <c r="J38" s="72"/>
      <c r="K38" s="72"/>
      <c r="L38" s="72"/>
      <c r="M38" s="72"/>
      <c r="N38" s="72"/>
      <c r="O38" s="72"/>
      <c r="P38" s="70">
        <v>21</v>
      </c>
      <c r="Q38" s="70">
        <v>18.440000000000001</v>
      </c>
      <c r="R38" s="70">
        <v>20.28</v>
      </c>
      <c r="S38" s="70">
        <v>32.76</v>
      </c>
      <c r="T38" s="70">
        <v>30.43</v>
      </c>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row>
    <row r="39" spans="1:46" x14ac:dyDescent="0.25">
      <c r="A39" s="43" t="s">
        <v>79</v>
      </c>
      <c r="B39" s="72"/>
      <c r="C39" s="72"/>
      <c r="D39" s="72"/>
      <c r="E39" s="72"/>
      <c r="F39" s="72"/>
      <c r="G39" s="72"/>
      <c r="H39" s="72"/>
      <c r="I39" s="72"/>
      <c r="J39" s="72"/>
      <c r="K39" s="72"/>
      <c r="L39" s="72"/>
      <c r="M39" s="72"/>
      <c r="N39" s="72"/>
      <c r="O39" s="72"/>
      <c r="P39" s="9">
        <f t="shared" ref="P39:T39" si="11">P37/(P38*11.6)</f>
        <v>32524791.398361251</v>
      </c>
      <c r="Q39" s="9">
        <f t="shared" si="11"/>
        <v>34889825.186937138</v>
      </c>
      <c r="R39" s="9">
        <f t="shared" si="11"/>
        <v>32467086.734037273</v>
      </c>
      <c r="S39" s="9">
        <f t="shared" si="11"/>
        <v>17716705.054579284</v>
      </c>
      <c r="T39" s="9">
        <f t="shared" si="11"/>
        <v>17302628.102277417</v>
      </c>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row>
    <row r="40" spans="1:46" x14ac:dyDescent="0.25">
      <c r="A40" s="43" t="s">
        <v>85</v>
      </c>
      <c r="B40" s="72"/>
      <c r="C40" s="72"/>
      <c r="D40" s="72"/>
      <c r="E40" s="72"/>
      <c r="F40" s="72"/>
      <c r="G40" s="72"/>
      <c r="H40" s="72"/>
      <c r="I40" s="72"/>
      <c r="J40" s="72"/>
      <c r="K40" s="72"/>
      <c r="L40" s="72"/>
      <c r="M40" s="72"/>
      <c r="N40" s="72"/>
      <c r="O40" s="72"/>
      <c r="P40" s="35">
        <f t="shared" ref="P40:T40" si="12">P36-P39</f>
        <v>98627091.601638749</v>
      </c>
      <c r="Q40" s="35">
        <f t="shared" si="12"/>
        <v>111687130.81306286</v>
      </c>
      <c r="R40" s="35">
        <f t="shared" si="12"/>
        <v>92122153.26596272</v>
      </c>
      <c r="S40" s="35">
        <f t="shared" si="12"/>
        <v>90945114.945420712</v>
      </c>
      <c r="T40" s="35">
        <f t="shared" si="12"/>
        <v>79914839.897722587</v>
      </c>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row>
    <row r="41" spans="1:46" x14ac:dyDescent="0.25">
      <c r="A41" s="43" t="s">
        <v>86</v>
      </c>
      <c r="B41" s="72"/>
      <c r="C41" s="72"/>
      <c r="D41" s="72"/>
      <c r="E41" s="72"/>
      <c r="F41" s="72"/>
      <c r="G41" s="72"/>
      <c r="H41" s="72"/>
      <c r="I41" s="72"/>
      <c r="J41" s="72"/>
      <c r="K41" s="72"/>
      <c r="L41" s="72"/>
      <c r="M41" s="72"/>
      <c r="N41" s="72"/>
      <c r="O41" s="72"/>
      <c r="P41" s="192">
        <f>'Currency Funds'!R125</f>
        <v>112549208.73</v>
      </c>
      <c r="Q41" s="35">
        <f>'Currency Funds'!S125</f>
        <v>132217029.12</v>
      </c>
      <c r="R41" s="192">
        <f>'Currency Funds'!T125</f>
        <v>105533745.76000001</v>
      </c>
      <c r="S41" s="192">
        <f>'Currency Funds'!U125</f>
        <v>46174145.509999998</v>
      </c>
      <c r="T41" s="192">
        <f>'Currency Funds'!V125</f>
        <v>23231512.469999999</v>
      </c>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row>
    <row r="42" spans="1:46" x14ac:dyDescent="0.25">
      <c r="A42" s="43" t="s">
        <v>62</v>
      </c>
      <c r="B42" s="72"/>
      <c r="C42" s="72"/>
      <c r="D42" s="72"/>
      <c r="E42" s="72"/>
      <c r="F42" s="72"/>
      <c r="G42" s="72"/>
      <c r="H42" s="72"/>
      <c r="I42" s="72"/>
      <c r="J42" s="72"/>
      <c r="K42" s="72"/>
      <c r="L42" s="72"/>
      <c r="M42" s="72"/>
      <c r="N42" s="72"/>
      <c r="O42" s="72"/>
      <c r="P42" s="192">
        <f>'Currency Funds'!R15</f>
        <v>25142323.891388472</v>
      </c>
      <c r="Q42" s="192">
        <f>'Currency Funds'!S15</f>
        <v>23736842.254214481</v>
      </c>
      <c r="R42" s="192">
        <f>'Currency Funds'!T15</f>
        <v>6807856.1325415215</v>
      </c>
      <c r="S42" s="192">
        <f>'Currency Funds'!U15</f>
        <v>6441307.7296920009</v>
      </c>
      <c r="T42" s="192">
        <f>'Currency Funds'!V15</f>
        <v>5716524.1752499994</v>
      </c>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row>
    <row r="43" spans="1:46" x14ac:dyDescent="0.25">
      <c r="A43" s="43" t="s">
        <v>82</v>
      </c>
      <c r="B43" s="72"/>
      <c r="C43" s="72"/>
      <c r="D43" s="72"/>
      <c r="E43" s="72"/>
      <c r="F43" s="72"/>
      <c r="G43" s="72"/>
      <c r="H43" s="72"/>
      <c r="I43" s="72"/>
      <c r="J43" s="72"/>
      <c r="K43" s="72"/>
      <c r="L43" s="72"/>
      <c r="M43" s="72"/>
      <c r="N43" s="72"/>
      <c r="O43" s="72"/>
      <c r="P43" s="192">
        <f>'Currency Funds'!R14-'Currency Funds'!R15</f>
        <v>88249633.450000003</v>
      </c>
      <c r="Q43" s="192">
        <f>'Currency Funds'!S14-'Currency Funds'!S15</f>
        <v>78845991.870000005</v>
      </c>
      <c r="R43" s="192">
        <f>'Currency Funds'!T14-'Currency Funds'!T15</f>
        <v>77469197.129999995</v>
      </c>
      <c r="S43" s="192">
        <f>'Currency Funds'!U14-'Currency Funds'!U15</f>
        <v>91169.730000000447</v>
      </c>
      <c r="T43" s="192">
        <f>'Currency Funds'!V14-'Currency Funds'!V15</f>
        <v>10773.75</v>
      </c>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row>
    <row r="44" spans="1:46" x14ac:dyDescent="0.25">
      <c r="A44" s="43"/>
      <c r="B44" s="72"/>
      <c r="C44" s="72"/>
      <c r="D44" s="72"/>
      <c r="E44" s="72"/>
      <c r="F44" s="72"/>
      <c r="G44" s="72"/>
      <c r="H44" s="72"/>
      <c r="I44" s="72"/>
      <c r="J44" s="72"/>
      <c r="K44" s="72"/>
      <c r="L44" s="72"/>
      <c r="M44" s="72"/>
      <c r="N44" s="72"/>
      <c r="O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row>
    <row r="45" spans="1:46" x14ac:dyDescent="0.25">
      <c r="A45" s="43" t="s">
        <v>91</v>
      </c>
      <c r="B45" s="72"/>
      <c r="C45" s="72"/>
      <c r="D45" s="72"/>
      <c r="E45" s="72"/>
      <c r="F45" s="72"/>
      <c r="G45" s="72"/>
      <c r="H45" s="72"/>
      <c r="I45" s="72"/>
      <c r="J45" s="72"/>
      <c r="K45" s="72"/>
      <c r="L45" s="72"/>
      <c r="M45" s="72"/>
      <c r="N45" s="72"/>
      <c r="O45" s="72"/>
      <c r="P45" s="35">
        <f t="shared" ref="P45:T45" si="13">(P42/P40)*100</f>
        <v>25.492309955706649</v>
      </c>
      <c r="Q45" s="35">
        <f t="shared" si="13"/>
        <v>21.252978818073672</v>
      </c>
      <c r="R45" s="35">
        <f t="shared" si="13"/>
        <v>7.3900314866574961</v>
      </c>
      <c r="S45" s="35">
        <f t="shared" si="13"/>
        <v>7.0826319077804794</v>
      </c>
      <c r="T45" s="35">
        <f t="shared" si="13"/>
        <v>7.1532698839992399</v>
      </c>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row>
    <row r="46" spans="1:46" x14ac:dyDescent="0.25">
      <c r="A46" s="43" t="s">
        <v>90</v>
      </c>
      <c r="B46" s="72"/>
      <c r="C46" s="72"/>
      <c r="D46" s="72"/>
      <c r="E46" s="72"/>
      <c r="F46" s="72"/>
      <c r="G46" s="72"/>
      <c r="H46" s="72"/>
      <c r="I46" s="72"/>
      <c r="J46" s="72"/>
      <c r="K46" s="72"/>
      <c r="L46" s="72"/>
      <c r="M46" s="72"/>
      <c r="N46" s="72"/>
      <c r="O46" s="72"/>
      <c r="P46" s="35">
        <f t="shared" ref="P46:T46" si="14">(P43/P40)*100</f>
        <v>89.478085601921649</v>
      </c>
      <c r="Q46" s="35">
        <f t="shared" si="14"/>
        <v>70.595413541394535</v>
      </c>
      <c r="R46" s="35">
        <f t="shared" si="14"/>
        <v>84.093993012018871</v>
      </c>
      <c r="S46" s="35">
        <f t="shared" si="14"/>
        <v>0.10024697869117492</v>
      </c>
      <c r="T46" s="35">
        <f t="shared" si="14"/>
        <v>1.3481538615091476E-2</v>
      </c>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row>
    <row r="47" spans="1:46" x14ac:dyDescent="0.25">
      <c r="A47" s="43" t="s">
        <v>93</v>
      </c>
      <c r="B47" s="72"/>
      <c r="C47" s="72"/>
      <c r="D47" s="72"/>
      <c r="E47" s="72"/>
      <c r="F47" s="72"/>
      <c r="G47" s="72"/>
      <c r="H47" s="72"/>
      <c r="I47" s="72"/>
      <c r="J47" s="72"/>
      <c r="K47" s="72"/>
      <c r="L47" s="72"/>
      <c r="M47" s="72"/>
      <c r="N47" s="72"/>
      <c r="O47" s="72"/>
      <c r="P47" s="35">
        <f>(((P40-O24)/O24)*100)/(((P41-O25)/O25)*100)*100</f>
        <v>3.6435410613895796</v>
      </c>
      <c r="Q47" s="35">
        <f>(((Q40-P40)/P40)*100)/(((Q41-P41)/P41)*100)*100</f>
        <v>75.776486891193699</v>
      </c>
      <c r="R47" s="35">
        <f t="shared" ref="R47:T47" si="15">(((R40-Q40)/Q40)*100)/(((R41-Q41)/Q41)*100)*100</f>
        <v>86.800923512690702</v>
      </c>
      <c r="S47" s="35">
        <f t="shared" si="15"/>
        <v>2.2715740938208948</v>
      </c>
      <c r="T47" s="35">
        <f t="shared" si="15"/>
        <v>24.409707440115312</v>
      </c>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row>
    <row r="48" spans="1:46" x14ac:dyDescent="0.25">
      <c r="A48" s="43" t="s">
        <v>89</v>
      </c>
      <c r="B48" s="72"/>
      <c r="C48" s="72"/>
      <c r="D48" s="72"/>
      <c r="E48" s="72"/>
      <c r="F48" s="72"/>
      <c r="G48" s="72"/>
      <c r="H48" s="72"/>
      <c r="I48" s="72"/>
      <c r="J48" s="72"/>
      <c r="K48" s="72"/>
      <c r="L48" s="72"/>
      <c r="M48" s="72"/>
      <c r="N48" s="72"/>
      <c r="O48" s="72"/>
      <c r="P48" s="35">
        <f>(((P40-O24)/O24)*100)/(((P42-O26)/O26)*100)*100</f>
        <v>-40.02892671898281</v>
      </c>
      <c r="Q48" s="35">
        <f>(((Q40-P40)/P40)*100)/(((Q42-P42)/P42)*100)*100</f>
        <v>-236.88005506833315</v>
      </c>
      <c r="R48" s="35">
        <f t="shared" ref="R48:T48" si="16">(((R40-Q40)/Q40)*100)/(((R42-Q42)/Q42)*100)*100</f>
        <v>24.562253781534473</v>
      </c>
      <c r="S48" s="35">
        <f t="shared" si="16"/>
        <v>23.73042736562908</v>
      </c>
      <c r="T48" s="35">
        <f t="shared" si="16"/>
        <v>107.78856325536724</v>
      </c>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row>
    <row r="49" spans="1:46" x14ac:dyDescent="0.25">
      <c r="A49" s="43"/>
      <c r="B49" s="72"/>
      <c r="C49" s="72"/>
      <c r="D49" s="72"/>
      <c r="E49" s="72"/>
      <c r="F49" s="72"/>
      <c r="G49" s="72"/>
      <c r="H49" s="72"/>
      <c r="I49" s="72"/>
      <c r="J49" s="72"/>
      <c r="K49" s="72"/>
      <c r="L49" s="72"/>
      <c r="M49" s="72"/>
      <c r="N49" s="72"/>
      <c r="O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row>
    <row r="50" spans="1:46" s="51" customFormat="1" x14ac:dyDescent="0.25">
      <c r="A50" s="52" t="s">
        <v>728</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row>
    <row r="51" spans="1:46" s="70" customFormat="1" x14ac:dyDescent="0.25">
      <c r="A51" s="70" t="s">
        <v>76</v>
      </c>
      <c r="B51" s="72"/>
      <c r="C51" s="72"/>
      <c r="D51" s="72"/>
      <c r="E51" s="72"/>
      <c r="F51" s="72"/>
      <c r="G51" s="72"/>
      <c r="H51" s="72"/>
      <c r="I51" s="72"/>
      <c r="J51" s="72"/>
      <c r="K51" s="72"/>
      <c r="L51" s="72"/>
      <c r="M51" s="72"/>
      <c r="N51" s="72"/>
      <c r="O51" s="72"/>
      <c r="P51" s="72"/>
      <c r="Q51" s="72"/>
      <c r="R51" s="72"/>
      <c r="S51" s="72"/>
      <c r="T51" s="72"/>
      <c r="U51" s="70">
        <v>1923</v>
      </c>
      <c r="V51" s="70">
        <v>1924</v>
      </c>
      <c r="W51" s="70">
        <v>1925</v>
      </c>
      <c r="X51" s="70">
        <v>1926</v>
      </c>
      <c r="Y51" s="70">
        <v>1927</v>
      </c>
      <c r="Z51" s="70">
        <v>1928</v>
      </c>
      <c r="AA51" s="70">
        <v>1929</v>
      </c>
      <c r="AB51" s="70">
        <v>1930</v>
      </c>
      <c r="AC51" s="70">
        <v>1931</v>
      </c>
      <c r="AD51" s="70">
        <v>1932</v>
      </c>
      <c r="AE51" s="70">
        <v>1933</v>
      </c>
      <c r="AF51" s="70">
        <v>1934</v>
      </c>
      <c r="AG51" s="70">
        <v>1935</v>
      </c>
      <c r="AH51" s="70">
        <v>1936</v>
      </c>
      <c r="AI51" s="70">
        <v>1937</v>
      </c>
      <c r="AJ51" s="70">
        <v>1938</v>
      </c>
      <c r="AK51" s="70">
        <v>1939</v>
      </c>
      <c r="AL51" s="70">
        <v>1940</v>
      </c>
      <c r="AM51" s="70">
        <v>1941</v>
      </c>
      <c r="AN51" s="70">
        <v>1942</v>
      </c>
      <c r="AO51" s="70">
        <v>1943</v>
      </c>
      <c r="AP51" s="70">
        <v>1944</v>
      </c>
      <c r="AQ51" s="70">
        <v>1945</v>
      </c>
      <c r="AR51" s="70">
        <v>1946</v>
      </c>
      <c r="AS51" s="70">
        <v>1947</v>
      </c>
      <c r="AT51" s="70">
        <v>1948</v>
      </c>
    </row>
    <row r="52" spans="1:46" x14ac:dyDescent="0.25">
      <c r="A52" s="23" t="s">
        <v>75</v>
      </c>
      <c r="B52" s="72"/>
      <c r="C52" s="72"/>
      <c r="D52" s="72"/>
      <c r="E52" s="72"/>
      <c r="F52" s="72"/>
      <c r="G52" s="72"/>
      <c r="H52" s="72"/>
      <c r="I52" s="72"/>
      <c r="J52" s="72"/>
      <c r="K52" s="72"/>
      <c r="L52" s="72"/>
      <c r="M52" s="72"/>
      <c r="N52" s="72"/>
      <c r="O52" s="72"/>
      <c r="P52" s="72"/>
      <c r="Q52" s="72"/>
      <c r="R52" s="72"/>
      <c r="S52" s="72"/>
      <c r="T52" s="72"/>
      <c r="U52" s="25">
        <v>110389330</v>
      </c>
      <c r="V52" s="25">
        <v>123979981</v>
      </c>
      <c r="W52" s="25">
        <v>132201573</v>
      </c>
      <c r="X52" s="25">
        <v>123649056</v>
      </c>
      <c r="Y52" s="25">
        <v>127446089</v>
      </c>
      <c r="Z52" s="25">
        <v>129620557.55</v>
      </c>
      <c r="AA52" s="25">
        <v>123538069.67</v>
      </c>
      <c r="AB52" s="25">
        <v>108518404.42</v>
      </c>
      <c r="AC52" s="25">
        <v>99046336.670000002</v>
      </c>
      <c r="AD52" s="25">
        <v>88442234.700000003</v>
      </c>
      <c r="AE52" s="25">
        <v>99942687.959999993</v>
      </c>
      <c r="AF52" s="25">
        <v>101392419.94</v>
      </c>
      <c r="AG52" s="25">
        <v>116722692.92</v>
      </c>
      <c r="AH52" s="25">
        <v>139764021.37</v>
      </c>
      <c r="AI52" s="25">
        <v>161489426.38999999</v>
      </c>
      <c r="AJ52" s="25">
        <v>205437892.03999999</v>
      </c>
      <c r="AK52" s="25">
        <v>202021853</v>
      </c>
      <c r="AL52" s="25">
        <v>189908485</v>
      </c>
      <c r="AM52" s="72"/>
      <c r="AN52" s="72"/>
      <c r="AO52" s="72"/>
      <c r="AP52" s="72"/>
      <c r="AQ52" s="72"/>
      <c r="AR52" s="72"/>
      <c r="AS52" s="72"/>
      <c r="AT52" s="72"/>
    </row>
    <row r="53" spans="1:46" x14ac:dyDescent="0.25">
      <c r="A53" s="43" t="s">
        <v>77</v>
      </c>
      <c r="B53" s="72"/>
      <c r="C53" s="72"/>
      <c r="D53" s="72"/>
      <c r="E53" s="72"/>
      <c r="F53" s="72"/>
      <c r="G53" s="72"/>
      <c r="H53" s="72"/>
      <c r="I53" s="72"/>
      <c r="J53" s="72"/>
      <c r="K53" s="72"/>
      <c r="L53" s="72"/>
      <c r="M53" s="72"/>
      <c r="N53" s="72"/>
      <c r="O53" s="72"/>
      <c r="P53" s="72"/>
      <c r="Q53" s="72"/>
      <c r="R53" s="72"/>
      <c r="S53" s="72"/>
      <c r="T53" s="72"/>
      <c r="U53" s="9">
        <f>'Annual Currency Data'!W29*308.66</f>
        <v>6046746180.3430004</v>
      </c>
      <c r="V53" s="9">
        <f>'Annual Currency Data'!X29*308.66</f>
        <v>6118363306.9834003</v>
      </c>
      <c r="W53" s="9">
        <f>'Annual Currency Data'!Y29*308.66</f>
        <v>6461388614.7261009</v>
      </c>
      <c r="X53" s="9">
        <f>'Annual Currency Data'!Z29*308.66</f>
        <v>6528366427.2364998</v>
      </c>
      <c r="Y53" s="9">
        <f>'Annual Currency Data'!AA29*308.66</f>
        <v>6546967019.6205006</v>
      </c>
      <c r="Z53" s="9">
        <f>'Annual Currency Data'!AB29*308.66</f>
        <v>6689674773.019701</v>
      </c>
      <c r="AA53" s="9">
        <f>'Annual Currency Data'!AC29*308.66</f>
        <v>6661083294.7329006</v>
      </c>
      <c r="AB53" s="9">
        <f>'Annual Currency Data'!AD29*308.66</f>
        <v>6302367825.3679008</v>
      </c>
      <c r="AC53" s="9">
        <f>'Annual Currency Data'!AE29*308.66</f>
        <v>5846155954.2122011</v>
      </c>
      <c r="AD53" s="9">
        <f>'Annual Currency Data'!AF29*308.66</f>
        <v>5511184497.9598007</v>
      </c>
      <c r="AE53" s="9">
        <f>'Annual Currency Data'!AG29*308.66</f>
        <v>5565134426.2294006</v>
      </c>
      <c r="AF53" s="9">
        <f>'Annual Currency Data'!AH29*308.66</f>
        <v>5663636314.2062006</v>
      </c>
      <c r="AG53" s="9">
        <f>'Annual Currency Data'!AI29*308.66</f>
        <v>5793715385.6890001</v>
      </c>
      <c r="AH53" s="9">
        <f>'Annual Currency Data'!AJ29*308.66</f>
        <v>6121468259.9070005</v>
      </c>
      <c r="AI53" s="9">
        <f>'Annual Currency Data'!AK29*308.66</f>
        <v>6853068689.667201</v>
      </c>
      <c r="AJ53" s="9">
        <f>'Annual Currency Data'!AL29*308.66</f>
        <v>6964082471.8762007</v>
      </c>
      <c r="AK53" s="9">
        <f>'Annual Currency Data'!AM29*308.66</f>
        <v>7096375709.6957989</v>
      </c>
      <c r="AL53" s="9">
        <f>'Annual Currency Data'!AN29*308.66</f>
        <v>7026937481.9006004</v>
      </c>
      <c r="AM53" s="287"/>
      <c r="AN53" s="287"/>
      <c r="AO53" s="287"/>
      <c r="AP53" s="287"/>
      <c r="AQ53" s="287"/>
      <c r="AR53" s="287"/>
      <c r="AS53" s="287"/>
      <c r="AT53" s="287"/>
    </row>
    <row r="54" spans="1:46" x14ac:dyDescent="0.25">
      <c r="A54" s="43" t="s">
        <v>78</v>
      </c>
      <c r="B54" s="72"/>
      <c r="C54" s="72"/>
      <c r="D54" s="72"/>
      <c r="E54" s="72"/>
      <c r="F54" s="72"/>
      <c r="G54" s="72"/>
      <c r="H54" s="72"/>
      <c r="I54" s="72"/>
      <c r="J54" s="72"/>
      <c r="K54" s="72"/>
      <c r="L54" s="72"/>
      <c r="M54" s="72"/>
      <c r="N54" s="72"/>
      <c r="O54" s="72"/>
      <c r="P54" s="72"/>
      <c r="Q54" s="72"/>
      <c r="R54" s="72"/>
      <c r="S54" s="72"/>
      <c r="T54" s="72"/>
      <c r="U54" s="70">
        <v>31.69</v>
      </c>
      <c r="V54" s="70">
        <v>30.8</v>
      </c>
      <c r="W54" s="70">
        <v>29.78</v>
      </c>
      <c r="X54" s="70">
        <v>33.11</v>
      </c>
      <c r="Y54" s="70">
        <v>36.47</v>
      </c>
      <c r="Z54" s="70">
        <v>35.340000000000003</v>
      </c>
      <c r="AA54" s="70">
        <v>38.78</v>
      </c>
      <c r="AB54" s="70">
        <v>53.74</v>
      </c>
      <c r="AC54" s="70">
        <v>71.25</v>
      </c>
      <c r="AD54" s="70">
        <v>73.290000000000006</v>
      </c>
      <c r="AE54" s="70">
        <v>69.83</v>
      </c>
      <c r="AF54" s="70">
        <v>72.36</v>
      </c>
      <c r="AG54" s="70">
        <v>54.19</v>
      </c>
      <c r="AH54" s="70">
        <v>77.09</v>
      </c>
      <c r="AI54" s="70">
        <v>77.44</v>
      </c>
      <c r="AJ54" s="70">
        <v>80.39</v>
      </c>
      <c r="AK54" s="70">
        <v>88.84</v>
      </c>
      <c r="AL54" s="70">
        <v>99.76</v>
      </c>
      <c r="AM54" s="72"/>
      <c r="AN54" s="72"/>
      <c r="AO54" s="72"/>
      <c r="AP54" s="72"/>
      <c r="AQ54" s="72"/>
      <c r="AR54" s="72"/>
      <c r="AS54" s="289"/>
      <c r="AT54" s="289"/>
    </row>
    <row r="55" spans="1:46" x14ac:dyDescent="0.25">
      <c r="A55" s="43" t="s">
        <v>79</v>
      </c>
      <c r="B55" s="72"/>
      <c r="C55" s="72"/>
      <c r="D55" s="72"/>
      <c r="E55" s="72"/>
      <c r="F55" s="72"/>
      <c r="G55" s="72"/>
      <c r="H55" s="72"/>
      <c r="I55" s="72"/>
      <c r="J55" s="72"/>
      <c r="K55" s="72"/>
      <c r="L55" s="72"/>
      <c r="M55" s="72"/>
      <c r="N55" s="72"/>
      <c r="O55" s="72"/>
      <c r="P55" s="72"/>
      <c r="Q55" s="72"/>
      <c r="R55" s="72"/>
      <c r="S55" s="72"/>
      <c r="T55" s="72"/>
      <c r="U55" s="9">
        <f t="shared" ref="U55:AE55" si="17">U53/(U54*11.6)</f>
        <v>16449076.126328878</v>
      </c>
      <c r="V55" s="9">
        <f t="shared" si="17"/>
        <v>17124841.320486456</v>
      </c>
      <c r="W55" s="9">
        <f t="shared" si="17"/>
        <v>18704374.072873779</v>
      </c>
      <c r="X55" s="9">
        <f t="shared" si="17"/>
        <v>16997590.131214917</v>
      </c>
      <c r="Y55" s="9">
        <f t="shared" si="17"/>
        <v>15475560.970331073</v>
      </c>
      <c r="Z55" s="9">
        <f t="shared" si="17"/>
        <v>16318508.80368953</v>
      </c>
      <c r="AA55" s="9">
        <f t="shared" si="17"/>
        <v>14807408.935313484</v>
      </c>
      <c r="AB55" s="9">
        <f t="shared" si="17"/>
        <v>10109928.752370771</v>
      </c>
      <c r="AC55" s="9">
        <f t="shared" si="17"/>
        <v>7073388.9343160326</v>
      </c>
      <c r="AD55" s="9">
        <f t="shared" si="17"/>
        <v>6482495.7278358061</v>
      </c>
      <c r="AE55" s="9">
        <f t="shared" si="17"/>
        <v>6870298.8368666284</v>
      </c>
      <c r="AF55" s="9">
        <f t="shared" ref="AF55:AL55" si="18">AF53/(AF54*(48/7))</f>
        <v>11414413.522504205</v>
      </c>
      <c r="AG55" s="9">
        <f t="shared" si="18"/>
        <v>15591748.05461609</v>
      </c>
      <c r="AH55" s="9">
        <f t="shared" si="18"/>
        <v>11580154.640503794</v>
      </c>
      <c r="AI55" s="9">
        <f t="shared" si="18"/>
        <v>12905550.756410986</v>
      </c>
      <c r="AJ55" s="9">
        <f t="shared" si="18"/>
        <v>12633354.403308198</v>
      </c>
      <c r="AK55" s="9">
        <f t="shared" si="18"/>
        <v>11648898.292780699</v>
      </c>
      <c r="AL55" s="9">
        <f t="shared" si="18"/>
        <v>10272270.610570412</v>
      </c>
      <c r="AM55" s="287"/>
      <c r="AN55" s="287"/>
      <c r="AO55" s="287"/>
      <c r="AP55" s="287"/>
      <c r="AQ55" s="287"/>
      <c r="AR55" s="287"/>
      <c r="AS55" s="287"/>
      <c r="AT55" s="287"/>
    </row>
    <row r="56" spans="1:46" x14ac:dyDescent="0.25">
      <c r="A56" s="43" t="s">
        <v>83</v>
      </c>
      <c r="B56" s="72"/>
      <c r="C56" s="72"/>
      <c r="D56" s="72"/>
      <c r="E56" s="72"/>
      <c r="F56" s="72"/>
      <c r="G56" s="72"/>
      <c r="H56" s="72"/>
      <c r="I56" s="72"/>
      <c r="J56" s="72"/>
      <c r="K56" s="72"/>
      <c r="L56" s="72"/>
      <c r="M56" s="72"/>
      <c r="N56" s="72"/>
      <c r="O56" s="72"/>
      <c r="P56" s="72"/>
      <c r="Q56" s="72"/>
      <c r="R56" s="72"/>
      <c r="S56" s="72"/>
      <c r="T56" s="72"/>
      <c r="U56" s="35">
        <f t="shared" ref="U56:AL56" si="19">U52-U55</f>
        <v>93940253.873671114</v>
      </c>
      <c r="V56" s="35">
        <f t="shared" si="19"/>
        <v>106855139.67951354</v>
      </c>
      <c r="W56" s="35">
        <f t="shared" si="19"/>
        <v>113497198.92712623</v>
      </c>
      <c r="X56" s="35">
        <f t="shared" si="19"/>
        <v>106651465.86878508</v>
      </c>
      <c r="Y56" s="35">
        <f t="shared" si="19"/>
        <v>111970528.02966893</v>
      </c>
      <c r="Z56" s="35">
        <f t="shared" si="19"/>
        <v>113302048.74631047</v>
      </c>
      <c r="AA56" s="35">
        <f t="shared" si="19"/>
        <v>108730660.73468652</v>
      </c>
      <c r="AB56" s="35">
        <f t="shared" si="19"/>
        <v>98408475.667629227</v>
      </c>
      <c r="AC56" s="35">
        <f t="shared" si="19"/>
        <v>91972947.735683963</v>
      </c>
      <c r="AD56" s="35">
        <f t="shared" si="19"/>
        <v>81959738.972164199</v>
      </c>
      <c r="AE56" s="35">
        <f t="shared" si="19"/>
        <v>93072389.123133361</v>
      </c>
      <c r="AF56" s="35">
        <f t="shared" si="19"/>
        <v>89978006.417495787</v>
      </c>
      <c r="AG56" s="35">
        <f t="shared" si="19"/>
        <v>101130944.86538391</v>
      </c>
      <c r="AH56" s="35">
        <f t="shared" si="19"/>
        <v>128183866.72949621</v>
      </c>
      <c r="AI56" s="35">
        <f t="shared" si="19"/>
        <v>148583875.633589</v>
      </c>
      <c r="AJ56" s="35">
        <f t="shared" si="19"/>
        <v>192804537.63669181</v>
      </c>
      <c r="AK56" s="35">
        <f t="shared" si="19"/>
        <v>190372954.7072193</v>
      </c>
      <c r="AL56" s="35">
        <f t="shared" si="19"/>
        <v>179636214.3894296</v>
      </c>
      <c r="AM56" s="288"/>
      <c r="AN56" s="288"/>
      <c r="AO56" s="288"/>
      <c r="AP56" s="288"/>
      <c r="AQ56" s="288"/>
      <c r="AR56" s="288"/>
      <c r="AS56" s="288"/>
      <c r="AT56" s="288"/>
    </row>
    <row r="57" spans="1:46" x14ac:dyDescent="0.25">
      <c r="A57" s="43" t="s">
        <v>84</v>
      </c>
      <c r="B57" s="72"/>
      <c r="C57" s="72"/>
      <c r="D57" s="72"/>
      <c r="E57" s="72"/>
      <c r="F57" s="72"/>
      <c r="G57" s="72"/>
      <c r="H57" s="72"/>
      <c r="I57" s="72"/>
      <c r="J57" s="72"/>
      <c r="K57" s="72"/>
      <c r="L57" s="72"/>
      <c r="M57" s="72"/>
      <c r="N57" s="72"/>
      <c r="O57" s="72"/>
      <c r="P57" s="72"/>
      <c r="Q57" s="72"/>
      <c r="R57" s="72"/>
      <c r="S57" s="72"/>
      <c r="T57" s="72"/>
      <c r="U57" s="35">
        <f>'Currency Funds'!W67+'Currency Funds'!W186</f>
        <v>75708092.819999993</v>
      </c>
      <c r="V57" s="192">
        <f>'Currency Funds'!X67+'Currency Funds'!X186</f>
        <v>92091341.930000007</v>
      </c>
      <c r="W57" s="192">
        <f>'Currency Funds'!Y67+'Currency Funds'!Y186</f>
        <v>113073909.8</v>
      </c>
      <c r="X57" s="192">
        <f>'Currency Funds'!Z67+'Currency Funds'!Z186</f>
        <v>106499946.86</v>
      </c>
      <c r="Y57" s="192">
        <f>'Currency Funds'!AA67+'Currency Funds'!AA186</f>
        <v>111515398.84</v>
      </c>
      <c r="Z57" s="192">
        <f>'Currency Funds'!AB67+'Currency Funds'!AB186</f>
        <v>120289827.46000001</v>
      </c>
      <c r="AA57" s="192">
        <f>'Currency Funds'!AC67+'Currency Funds'!AC186</f>
        <v>132790798.68000001</v>
      </c>
      <c r="AB57" s="192">
        <f>'Currency Funds'!AD67+'Currency Funds'!AD186</f>
        <v>133995198.08</v>
      </c>
      <c r="AC57" s="192">
        <f>'Currency Funds'!AE67+'Currency Funds'!AE186</f>
        <v>128932202.25999999</v>
      </c>
      <c r="AD57" s="192">
        <f>'Currency Funds'!AF67+'Currency Funds'!AF186</f>
        <v>125637460.77000001</v>
      </c>
      <c r="AE57" s="192">
        <f>'Currency Funds'!AG67+'Currency Funds'!AG186</f>
        <v>134187574.97999999</v>
      </c>
      <c r="AF57" s="192">
        <f>'Currency Funds'!AH67+'Currency Funds'!AH186</f>
        <v>138269324.81</v>
      </c>
      <c r="AG57" s="192">
        <f>'Currency Funds'!AI67+'Currency Funds'!AI186</f>
        <v>155426003.62</v>
      </c>
      <c r="AH57" s="192">
        <f>'Currency Funds'!AJ67+'Currency Funds'!AJ186</f>
        <v>176859760.11000001</v>
      </c>
      <c r="AI57" s="192">
        <f>'Currency Funds'!AK67+'Currency Funds'!AK186</f>
        <v>192056809.21000001</v>
      </c>
      <c r="AJ57" s="192">
        <f>'Currency Funds'!AL67+'Currency Funds'!AL186</f>
        <v>223579315.97</v>
      </c>
      <c r="AK57" s="192">
        <f>'Currency Funds'!AM67+'Currency Funds'!AM186</f>
        <v>211883311.77000001</v>
      </c>
      <c r="AL57" s="192">
        <f>'Currency Funds'!AN67+'Currency Funds'!AN186</f>
        <v>206766408.19999999</v>
      </c>
      <c r="AM57" s="72"/>
      <c r="AN57" s="72"/>
      <c r="AO57" s="72"/>
      <c r="AP57" s="72"/>
      <c r="AQ57" s="72"/>
      <c r="AR57" s="72"/>
      <c r="AS57" s="72"/>
      <c r="AT57" s="72"/>
    </row>
    <row r="58" spans="1:46" x14ac:dyDescent="0.25">
      <c r="A58" s="43" t="s">
        <v>62</v>
      </c>
      <c r="B58" s="72"/>
      <c r="C58" s="72"/>
      <c r="D58" s="72"/>
      <c r="E58" s="72"/>
      <c r="F58" s="72"/>
      <c r="G58" s="72"/>
      <c r="H58" s="72"/>
      <c r="I58" s="72"/>
      <c r="J58" s="72"/>
      <c r="K58" s="72"/>
      <c r="L58" s="72"/>
      <c r="M58" s="72"/>
      <c r="N58" s="72"/>
      <c r="O58" s="72"/>
      <c r="P58" s="72"/>
      <c r="Q58" s="72"/>
      <c r="R58" s="72"/>
      <c r="S58" s="72"/>
      <c r="T58" s="72"/>
      <c r="U58" s="192">
        <f>'Currency Funds'!W15</f>
        <v>62654111.671849996</v>
      </c>
      <c r="V58" s="192">
        <f>'Currency Funds'!X15</f>
        <v>74915690.927549988</v>
      </c>
      <c r="W58" s="192">
        <f>'Currency Funds'!Y15</f>
        <v>100405063.2702</v>
      </c>
      <c r="X58" s="192">
        <f>'Currency Funds'!Z15</f>
        <v>95573082.460299999</v>
      </c>
      <c r="Y58" s="192">
        <f>'Currency Funds'!AA15</f>
        <v>102461606.0643</v>
      </c>
      <c r="Z58" s="192">
        <f>'Currency Funds'!AB15</f>
        <v>110477098.18625</v>
      </c>
      <c r="AA58" s="192">
        <f>'Currency Funds'!AC15</f>
        <v>119893975.86785001</v>
      </c>
      <c r="AB58" s="192">
        <f>'Currency Funds'!AD15</f>
        <v>123532880.23284999</v>
      </c>
      <c r="AC58" s="192">
        <f>'Currency Funds'!AE15</f>
        <v>119170852.80759999</v>
      </c>
      <c r="AD58" s="192">
        <f>'Currency Funds'!AF15</f>
        <v>120539341.06295</v>
      </c>
      <c r="AE58" s="192">
        <f>'Currency Funds'!AG15</f>
        <v>122613249.80634999</v>
      </c>
      <c r="AF58" s="192">
        <f>'Currency Funds'!AH15</f>
        <v>124755542.56315002</v>
      </c>
      <c r="AG58" s="192">
        <f>'Currency Funds'!AI15</f>
        <v>138380206.47619998</v>
      </c>
      <c r="AH58" s="192">
        <f>'Currency Funds'!AJ15</f>
        <v>160156132.76209998</v>
      </c>
      <c r="AI58" s="192">
        <f>'Currency Funds'!AK15</f>
        <v>178227759.08675</v>
      </c>
      <c r="AJ58" s="192">
        <f>'Currency Funds'!AL15</f>
        <v>210932042.6701</v>
      </c>
      <c r="AK58" s="192">
        <f>'Currency Funds'!AM15</f>
        <v>199859618.42344999</v>
      </c>
      <c r="AL58" s="192">
        <f>'Currency Funds'!AN15</f>
        <v>195176229.44440001</v>
      </c>
      <c r="AM58" s="288"/>
      <c r="AN58" s="288"/>
      <c r="AO58" s="288"/>
      <c r="AP58" s="288"/>
      <c r="AQ58" s="288"/>
      <c r="AR58" s="288"/>
      <c r="AS58" s="288"/>
      <c r="AT58" s="288"/>
    </row>
    <row r="59" spans="1:46" x14ac:dyDescent="0.25">
      <c r="A59" s="43" t="s">
        <v>82</v>
      </c>
      <c r="B59" s="72"/>
      <c r="C59" s="72"/>
      <c r="D59" s="72"/>
      <c r="E59" s="72"/>
      <c r="F59" s="72"/>
      <c r="G59" s="72"/>
      <c r="H59" s="72"/>
      <c r="I59" s="72"/>
      <c r="J59" s="72"/>
      <c r="K59" s="72"/>
      <c r="L59" s="72"/>
      <c r="M59" s="72"/>
      <c r="N59" s="72"/>
      <c r="O59" s="72"/>
      <c r="P59" s="72"/>
      <c r="Q59" s="72"/>
      <c r="R59" s="72"/>
      <c r="S59" s="72"/>
      <c r="T59" s="72"/>
      <c r="U59" s="192">
        <f>'Currency Funds'!W14-'Currency Funds'!W15</f>
        <v>-7523.3999999985099</v>
      </c>
      <c r="V59" s="192">
        <f>'Currency Funds'!X14-'Currency Funds'!X15</f>
        <v>424286.78000000119</v>
      </c>
      <c r="W59" s="192">
        <f>'Currency Funds'!Y14-'Currency Funds'!Y15</f>
        <v>443290.79999999702</v>
      </c>
      <c r="X59" s="192">
        <f>'Currency Funds'!Z14-'Currency Funds'!Z15</f>
        <v>615124.29999999702</v>
      </c>
      <c r="Y59" s="192">
        <f>'Currency Funds'!AA14-'Currency Funds'!AA15</f>
        <v>647382.23000000417</v>
      </c>
      <c r="Z59" s="192">
        <f>'Currency Funds'!AB14-'Currency Funds'!AB15</f>
        <v>854519.6099999994</v>
      </c>
      <c r="AA59" s="192">
        <f>'Currency Funds'!AC14-'Currency Funds'!AC15</f>
        <v>1203764.9099999964</v>
      </c>
      <c r="AB59" s="192">
        <f>'Currency Funds'!AD14-'Currency Funds'!AD15</f>
        <v>1830591.2600000054</v>
      </c>
      <c r="AC59" s="192">
        <f>'Currency Funds'!AE14-'Currency Funds'!AE15</f>
        <v>857711.26999999583</v>
      </c>
      <c r="AD59" s="192">
        <f>'Currency Funds'!AF14-'Currency Funds'!AF15</f>
        <v>780693.31999999285</v>
      </c>
      <c r="AE59" s="192">
        <f>'Currency Funds'!AG14-'Currency Funds'!AG15</f>
        <v>527485.54000000656</v>
      </c>
      <c r="AF59" s="192">
        <f>'Currency Funds'!AH14-'Currency Funds'!AH15</f>
        <v>419753.20000000298</v>
      </c>
      <c r="AG59" s="192">
        <f>'Currency Funds'!AI14-'Currency Funds'!AI15</f>
        <v>1248835.6200000048</v>
      </c>
      <c r="AH59" s="192">
        <f>'Currency Funds'!AJ14-'Currency Funds'!AJ15</f>
        <v>886554.91999998689</v>
      </c>
      <c r="AI59" s="192">
        <f>'Currency Funds'!AK14-'Currency Funds'!AK15</f>
        <v>1105630.6100000143</v>
      </c>
      <c r="AJ59" s="192">
        <f>'Currency Funds'!AL14-'Currency Funds'!AL15</f>
        <v>1417979.1999999881</v>
      </c>
      <c r="AK59" s="192">
        <f>'Currency Funds'!AM14-'Currency Funds'!AM15</f>
        <v>1399275.6599999964</v>
      </c>
      <c r="AL59" s="192">
        <f>'Currency Funds'!AN14-'Currency Funds'!AN15</f>
        <v>137156.5</v>
      </c>
      <c r="AM59" s="288"/>
      <c r="AN59" s="288"/>
      <c r="AO59" s="288"/>
      <c r="AP59" s="288"/>
      <c r="AQ59" s="288"/>
      <c r="AR59" s="288"/>
      <c r="AS59" s="288"/>
      <c r="AT59" s="288"/>
    </row>
    <row r="60" spans="1:46" x14ac:dyDescent="0.25">
      <c r="B60" s="72"/>
      <c r="C60" s="72"/>
      <c r="D60" s="72"/>
      <c r="E60" s="72"/>
      <c r="F60" s="72"/>
      <c r="G60" s="72"/>
      <c r="H60" s="72"/>
      <c r="I60" s="72"/>
      <c r="J60" s="72"/>
      <c r="K60" s="72"/>
      <c r="L60" s="72"/>
      <c r="M60" s="72"/>
      <c r="N60" s="72"/>
      <c r="O60" s="72"/>
      <c r="P60" s="72"/>
      <c r="Q60" s="72"/>
      <c r="R60" s="72"/>
      <c r="S60" s="72"/>
      <c r="T60" s="72"/>
      <c r="AM60" s="72"/>
      <c r="AN60" s="72"/>
      <c r="AO60" s="72"/>
      <c r="AP60" s="72"/>
      <c r="AQ60" s="72"/>
      <c r="AR60" s="72"/>
      <c r="AS60" s="72"/>
      <c r="AT60" s="72"/>
    </row>
    <row r="61" spans="1:46" x14ac:dyDescent="0.25">
      <c r="A61" s="43" t="s">
        <v>91</v>
      </c>
      <c r="B61" s="72"/>
      <c r="C61" s="72"/>
      <c r="D61" s="72"/>
      <c r="E61" s="72"/>
      <c r="F61" s="72"/>
      <c r="G61" s="72"/>
      <c r="H61" s="72"/>
      <c r="I61" s="72"/>
      <c r="J61" s="72"/>
      <c r="K61" s="72"/>
      <c r="L61" s="72"/>
      <c r="M61" s="72"/>
      <c r="N61" s="72"/>
      <c r="O61" s="72"/>
      <c r="P61" s="72"/>
      <c r="Q61" s="72"/>
      <c r="R61" s="72"/>
      <c r="S61" s="72"/>
      <c r="T61" s="72"/>
      <c r="U61" s="35">
        <f>(U58/U56)*100</f>
        <v>66.695701883141524</v>
      </c>
      <c r="V61" s="35">
        <f t="shared" ref="V61:AL61" si="20">(V58/V56)*100</f>
        <v>70.109581207082499</v>
      </c>
      <c r="W61" s="35">
        <f t="shared" si="20"/>
        <v>88.464794038368851</v>
      </c>
      <c r="X61" s="35">
        <f t="shared" si="20"/>
        <v>89.612535263120535</v>
      </c>
      <c r="Y61" s="35">
        <f t="shared" si="20"/>
        <v>91.507656405041388</v>
      </c>
      <c r="Z61" s="35">
        <f t="shared" si="20"/>
        <v>97.506708315234718</v>
      </c>
      <c r="AA61" s="35">
        <f t="shared" si="20"/>
        <v>110.26694315819809</v>
      </c>
      <c r="AB61" s="35">
        <f t="shared" si="20"/>
        <v>125.53073238333398</v>
      </c>
      <c r="AC61" s="35">
        <f t="shared" si="20"/>
        <v>129.57163572714728</v>
      </c>
      <c r="AD61" s="35">
        <f t="shared" si="20"/>
        <v>147.07140673531001</v>
      </c>
      <c r="AE61" s="35">
        <f t="shared" si="20"/>
        <v>131.73966088281512</v>
      </c>
      <c r="AF61" s="35">
        <f t="shared" si="20"/>
        <v>138.65115213187465</v>
      </c>
      <c r="AG61" s="35">
        <f t="shared" si="20"/>
        <v>136.83270403574178</v>
      </c>
      <c r="AH61" s="35">
        <f t="shared" si="20"/>
        <v>124.94250395806377</v>
      </c>
      <c r="AI61" s="35">
        <f t="shared" si="20"/>
        <v>119.95094240660637</v>
      </c>
      <c r="AJ61" s="35">
        <f t="shared" si="20"/>
        <v>109.40201162047674</v>
      </c>
      <c r="AK61" s="35">
        <f t="shared" si="20"/>
        <v>104.98319928417381</v>
      </c>
      <c r="AL61" s="35">
        <f t="shared" si="20"/>
        <v>108.65082528475108</v>
      </c>
      <c r="AM61" s="288"/>
      <c r="AN61" s="288"/>
      <c r="AO61" s="288"/>
      <c r="AP61" s="288"/>
      <c r="AQ61" s="288"/>
      <c r="AR61" s="288"/>
      <c r="AS61" s="288"/>
      <c r="AT61" s="288"/>
    </row>
    <row r="62" spans="1:46" x14ac:dyDescent="0.25">
      <c r="A62" s="43" t="s">
        <v>90</v>
      </c>
      <c r="B62" s="72"/>
      <c r="C62" s="72"/>
      <c r="D62" s="72"/>
      <c r="E62" s="72"/>
      <c r="F62" s="72"/>
      <c r="G62" s="72"/>
      <c r="H62" s="72"/>
      <c r="I62" s="72"/>
      <c r="J62" s="72"/>
      <c r="K62" s="72"/>
      <c r="L62" s="72"/>
      <c r="M62" s="72"/>
      <c r="N62" s="72"/>
      <c r="O62" s="72"/>
      <c r="P62" s="72"/>
      <c r="Q62" s="72"/>
      <c r="R62" s="72"/>
      <c r="S62" s="72"/>
      <c r="T62" s="72"/>
      <c r="U62" s="35">
        <f>(U59/U56)*100</f>
        <v>-8.0087073323389362E-3</v>
      </c>
      <c r="V62" s="35">
        <f t="shared" ref="V62:AL62" si="21">(V59/V56)*100</f>
        <v>0.39706726440351681</v>
      </c>
      <c r="W62" s="35">
        <f t="shared" si="21"/>
        <v>0.39057422050091578</v>
      </c>
      <c r="X62" s="35">
        <f t="shared" si="21"/>
        <v>0.57676122403867736</v>
      </c>
      <c r="Y62" s="35">
        <f t="shared" si="21"/>
        <v>0.57817198989047081</v>
      </c>
      <c r="Z62" s="35">
        <f t="shared" si="21"/>
        <v>0.75419607981962966</v>
      </c>
      <c r="AA62" s="35">
        <f t="shared" si="21"/>
        <v>1.1071071415056521</v>
      </c>
      <c r="AB62" s="35">
        <f t="shared" si="21"/>
        <v>1.8601967438076732</v>
      </c>
      <c r="AC62" s="35">
        <f t="shared" si="21"/>
        <v>0.93256907723010629</v>
      </c>
      <c r="AD62" s="35">
        <f t="shared" si="21"/>
        <v>0.95253270665629863</v>
      </c>
      <c r="AE62" s="35">
        <f t="shared" si="21"/>
        <v>0.5667476090058795</v>
      </c>
      <c r="AF62" s="35">
        <f t="shared" si="21"/>
        <v>0.46650644608901232</v>
      </c>
      <c r="AG62" s="35">
        <f t="shared" si="21"/>
        <v>1.2348699220227184</v>
      </c>
      <c r="AH62" s="35">
        <f t="shared" si="21"/>
        <v>0.69162753677174171</v>
      </c>
      <c r="AI62" s="35">
        <f t="shared" si="21"/>
        <v>0.74411210858876975</v>
      </c>
      <c r="AJ62" s="35">
        <f t="shared" si="21"/>
        <v>0.73544908090904726</v>
      </c>
      <c r="AK62" s="35">
        <f t="shared" si="21"/>
        <v>0.73501809232933724</v>
      </c>
      <c r="AL62" s="35">
        <f t="shared" si="21"/>
        <v>7.635236606726821E-2</v>
      </c>
      <c r="AM62" s="288"/>
      <c r="AN62" s="288"/>
      <c r="AO62" s="288"/>
      <c r="AP62" s="288"/>
      <c r="AQ62" s="288"/>
      <c r="AR62" s="288"/>
      <c r="AS62" s="288"/>
      <c r="AT62" s="288"/>
    </row>
    <row r="63" spans="1:46" x14ac:dyDescent="0.25">
      <c r="A63" s="43" t="s">
        <v>93</v>
      </c>
      <c r="B63" s="72"/>
      <c r="C63" s="72"/>
      <c r="D63" s="72"/>
      <c r="E63" s="72"/>
      <c r="F63" s="72"/>
      <c r="G63" s="72"/>
      <c r="H63" s="72"/>
      <c r="I63" s="72"/>
      <c r="J63" s="72"/>
      <c r="K63" s="72"/>
      <c r="L63" s="72"/>
      <c r="M63" s="72"/>
      <c r="N63" s="72"/>
      <c r="O63" s="72"/>
      <c r="P63" s="72"/>
      <c r="Q63" s="72"/>
      <c r="R63" s="72"/>
      <c r="S63" s="72"/>
      <c r="T63" s="72"/>
      <c r="U63" s="35">
        <f>(((U55-T40)/T39)*100)/(((U57-T41)/T41)*100)*100</f>
        <v>-162.38256466660283</v>
      </c>
      <c r="V63" s="35">
        <f t="shared" ref="V63:AL63" si="22">(((V56-U56)/U56)*100)/(((V57-U57)/U57)*100)*100</f>
        <v>63.530330116675394</v>
      </c>
      <c r="W63" s="35">
        <f t="shared" si="22"/>
        <v>27.281452798064947</v>
      </c>
      <c r="X63" s="35">
        <f t="shared" si="22"/>
        <v>103.74566877399671</v>
      </c>
      <c r="Y63" s="35">
        <f t="shared" si="22"/>
        <v>105.90282644114323</v>
      </c>
      <c r="Z63" s="35">
        <f t="shared" si="22"/>
        <v>15.113331147616559</v>
      </c>
      <c r="AA63" s="35">
        <f t="shared" si="22"/>
        <v>-38.82357004672415</v>
      </c>
      <c r="AB63" s="35">
        <f t="shared" si="22"/>
        <v>-1046.6875698670326</v>
      </c>
      <c r="AC63" s="35">
        <f t="shared" si="22"/>
        <v>173.0746018112707</v>
      </c>
      <c r="AD63" s="35">
        <f t="shared" si="22"/>
        <v>426.0427907410633</v>
      </c>
      <c r="AE63" s="35">
        <f t="shared" si="22"/>
        <v>199.23439251559421</v>
      </c>
      <c r="AF63" s="35">
        <f t="shared" si="22"/>
        <v>-109.29972873253897</v>
      </c>
      <c r="AG63" s="35">
        <f t="shared" si="22"/>
        <v>99.895416053178749</v>
      </c>
      <c r="AH63" s="35">
        <f t="shared" si="22"/>
        <v>193.97935070819497</v>
      </c>
      <c r="AI63" s="35">
        <f t="shared" si="22"/>
        <v>185.21099027807259</v>
      </c>
      <c r="AJ63" s="35">
        <f t="shared" si="22"/>
        <v>181.32701841307636</v>
      </c>
      <c r="AK63" s="35">
        <f t="shared" si="22"/>
        <v>24.108264222253112</v>
      </c>
      <c r="AL63" s="35">
        <f t="shared" si="22"/>
        <v>233.53754934770436</v>
      </c>
      <c r="AM63" s="288"/>
      <c r="AN63" s="288"/>
      <c r="AO63" s="288"/>
      <c r="AP63" s="288"/>
      <c r="AQ63" s="288"/>
      <c r="AR63" s="288"/>
      <c r="AS63" s="288"/>
      <c r="AT63" s="288"/>
    </row>
    <row r="64" spans="1:46" x14ac:dyDescent="0.25">
      <c r="A64" s="43" t="s">
        <v>89</v>
      </c>
      <c r="B64" s="72"/>
      <c r="C64" s="72"/>
      <c r="D64" s="72"/>
      <c r="E64" s="72"/>
      <c r="F64" s="72"/>
      <c r="G64" s="72"/>
      <c r="H64" s="72"/>
      <c r="I64" s="72"/>
      <c r="J64" s="72"/>
      <c r="K64" s="72"/>
      <c r="L64" s="72"/>
      <c r="M64" s="72"/>
      <c r="N64" s="72"/>
      <c r="O64" s="72"/>
      <c r="P64" s="72"/>
      <c r="Q64" s="72"/>
      <c r="R64" s="72"/>
      <c r="S64" s="72"/>
      <c r="T64" s="72"/>
      <c r="U64" s="35">
        <f>(((U56-T40)/T40)*100)/(((U58-T42)/T42)*100)*100</f>
        <v>1.7620622126071934</v>
      </c>
      <c r="V64" s="35">
        <f>(((V56-U56)/U56)*100)/(((V58-U58)/U58)*100)*100</f>
        <v>70.249301138013053</v>
      </c>
      <c r="W64" s="35">
        <f t="shared" ref="W64:AL64" si="23">(((W56-V56)/V56)*100)/(((W58-V58)/V58)*100)*100</f>
        <v>18.26926084890567</v>
      </c>
      <c r="X64" s="35">
        <f t="shared" si="23"/>
        <v>125.33294085253944</v>
      </c>
      <c r="Y64" s="35">
        <f t="shared" si="23"/>
        <v>69.195472478623941</v>
      </c>
      <c r="Z64" s="35">
        <f t="shared" si="23"/>
        <v>15.201105357082783</v>
      </c>
      <c r="AA64" s="35">
        <f t="shared" si="23"/>
        <v>-47.334266464576409</v>
      </c>
      <c r="AB64" s="35">
        <f t="shared" si="23"/>
        <v>-312.78530015932824</v>
      </c>
      <c r="AC64" s="35">
        <f t="shared" si="23"/>
        <v>185.20207596452525</v>
      </c>
      <c r="AD64" s="35">
        <f t="shared" si="23"/>
        <v>-948.07378382273941</v>
      </c>
      <c r="AE64" s="35">
        <f t="shared" si="23"/>
        <v>788.05448670851854</v>
      </c>
      <c r="AF64" s="35">
        <f t="shared" si="23"/>
        <v>-190.28815132216531</v>
      </c>
      <c r="AG64" s="35">
        <f t="shared" si="23"/>
        <v>113.49768150790338</v>
      </c>
      <c r="AH64" s="35">
        <f t="shared" si="23"/>
        <v>169.99159540372844</v>
      </c>
      <c r="AI64" s="35">
        <f t="shared" si="23"/>
        <v>141.04033292053535</v>
      </c>
      <c r="AJ64" s="35">
        <f t="shared" si="23"/>
        <v>162.19007114458418</v>
      </c>
      <c r="AK64" s="35">
        <f t="shared" si="23"/>
        <v>24.025458018987038</v>
      </c>
      <c r="AL64" s="35">
        <f t="shared" si="23"/>
        <v>240.6755777679578</v>
      </c>
      <c r="AM64" s="288"/>
      <c r="AN64" s="288"/>
      <c r="AO64" s="288"/>
      <c r="AP64" s="288"/>
      <c r="AQ64" s="288"/>
      <c r="AR64" s="288"/>
      <c r="AS64" s="288"/>
      <c r="AT64" s="288"/>
    </row>
    <row r="65" spans="1:46" x14ac:dyDescent="0.25">
      <c r="A65" s="43"/>
      <c r="B65" s="72"/>
      <c r="C65" s="72"/>
      <c r="D65" s="72"/>
      <c r="E65" s="72"/>
      <c r="F65" s="72"/>
      <c r="G65" s="72"/>
      <c r="H65" s="72"/>
      <c r="I65" s="72"/>
      <c r="J65" s="72"/>
      <c r="K65" s="72"/>
      <c r="L65" s="72"/>
      <c r="M65" s="72"/>
      <c r="N65" s="72"/>
      <c r="O65" s="72"/>
      <c r="P65" s="72"/>
      <c r="Q65" s="72"/>
      <c r="R65" s="72"/>
      <c r="S65" s="72"/>
      <c r="T65" s="72"/>
      <c r="AM65" s="72"/>
      <c r="AN65" s="72"/>
      <c r="AO65" s="72"/>
      <c r="AP65" s="72"/>
      <c r="AQ65" s="72"/>
      <c r="AR65" s="72"/>
      <c r="AS65" s="72"/>
      <c r="AT65" s="72"/>
    </row>
    <row r="66" spans="1:46" s="50" customFormat="1" x14ac:dyDescent="0.25">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L9" sqref="L9"/>
    </sheetView>
  </sheetViews>
  <sheetFormatPr defaultRowHeight="15" x14ac:dyDescent="0.25"/>
  <cols>
    <col min="2" max="2" width="21.7109375" customWidth="1"/>
    <col min="3" max="3" width="21.42578125" customWidth="1"/>
  </cols>
  <sheetData>
    <row r="1" spans="1:3" ht="18.75" x14ac:dyDescent="0.3">
      <c r="A1" s="44" t="s">
        <v>417</v>
      </c>
    </row>
    <row r="3" spans="1:3" x14ac:dyDescent="0.25">
      <c r="A3" s="43" t="s">
        <v>32</v>
      </c>
      <c r="B3" s="43" t="s">
        <v>94</v>
      </c>
      <c r="C3" s="43"/>
    </row>
    <row r="4" spans="1:3" x14ac:dyDescent="0.25">
      <c r="A4" s="29">
        <v>1924</v>
      </c>
      <c r="B4" s="53">
        <v>124</v>
      </c>
      <c r="C4" s="54"/>
    </row>
    <row r="5" spans="1:3" x14ac:dyDescent="0.25">
      <c r="A5" s="29">
        <v>1925</v>
      </c>
      <c r="B5" s="53">
        <v>132.19999999999999</v>
      </c>
      <c r="C5" s="54"/>
    </row>
    <row r="6" spans="1:3" x14ac:dyDescent="0.25">
      <c r="A6" s="29">
        <v>1926</v>
      </c>
      <c r="B6" s="53">
        <v>123.6</v>
      </c>
      <c r="C6" s="54"/>
    </row>
    <row r="7" spans="1:3" x14ac:dyDescent="0.25">
      <c r="A7" s="29">
        <v>1927</v>
      </c>
      <c r="B7" s="53">
        <v>127.4</v>
      </c>
      <c r="C7" s="54"/>
    </row>
    <row r="8" spans="1:3" x14ac:dyDescent="0.25">
      <c r="A8" s="29">
        <v>1928</v>
      </c>
      <c r="B8" s="53">
        <v>129.6</v>
      </c>
      <c r="C8" s="54"/>
    </row>
    <row r="9" spans="1:3" x14ac:dyDescent="0.25">
      <c r="A9" s="29">
        <v>1929</v>
      </c>
      <c r="B9" s="53">
        <v>123.5</v>
      </c>
      <c r="C9" s="54"/>
    </row>
    <row r="10" spans="1:3" x14ac:dyDescent="0.25">
      <c r="A10" s="29">
        <v>1930</v>
      </c>
      <c r="B10" s="53">
        <v>108.5</v>
      </c>
      <c r="C10" s="54"/>
    </row>
    <row r="11" spans="1:3" x14ac:dyDescent="0.25">
      <c r="A11" s="29">
        <v>1931</v>
      </c>
      <c r="B11" s="53">
        <v>99</v>
      </c>
      <c r="C11" s="54"/>
    </row>
    <row r="12" spans="1:3" x14ac:dyDescent="0.25">
      <c r="A12" s="29">
        <v>1932</v>
      </c>
      <c r="B12" s="53">
        <v>88.4</v>
      </c>
      <c r="C12" s="54"/>
    </row>
    <row r="13" spans="1:3" x14ac:dyDescent="0.25">
      <c r="A13" s="29">
        <v>1933</v>
      </c>
      <c r="B13" s="53">
        <v>99.9</v>
      </c>
      <c r="C13" s="54"/>
    </row>
    <row r="14" spans="1:3" x14ac:dyDescent="0.25">
      <c r="A14" s="29">
        <v>1934</v>
      </c>
      <c r="B14" s="53">
        <v>101.4</v>
      </c>
      <c r="C14" s="5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A11" sqref="A11"/>
    </sheetView>
  </sheetViews>
  <sheetFormatPr defaultRowHeight="15" x14ac:dyDescent="0.25"/>
  <cols>
    <col min="1" max="1" width="15.140625" customWidth="1"/>
    <col min="2" max="2" width="31.28515625" customWidth="1"/>
    <col min="3" max="3" width="21.28515625" customWidth="1"/>
    <col min="4" max="4" width="17.140625" customWidth="1"/>
    <col min="5" max="5" width="24.7109375" customWidth="1"/>
  </cols>
  <sheetData>
    <row r="1" spans="1:5" ht="18.75" x14ac:dyDescent="0.3">
      <c r="A1" s="44" t="s">
        <v>418</v>
      </c>
    </row>
    <row r="3" spans="1:5" x14ac:dyDescent="0.25">
      <c r="A3" t="s">
        <v>32</v>
      </c>
      <c r="B3" t="s">
        <v>50</v>
      </c>
      <c r="C3" t="s">
        <v>51</v>
      </c>
      <c r="D3" t="s">
        <v>52</v>
      </c>
    </row>
    <row r="4" spans="1:5" x14ac:dyDescent="0.25">
      <c r="A4">
        <v>1923</v>
      </c>
      <c r="B4" s="1">
        <v>13622904.82</v>
      </c>
      <c r="C4" s="1">
        <v>62084788</v>
      </c>
      <c r="D4" s="42">
        <f>(C4/B4)</f>
        <v>4.557382498103661</v>
      </c>
      <c r="E4" s="1"/>
    </row>
    <row r="5" spans="1:5" x14ac:dyDescent="0.25">
      <c r="A5">
        <v>1924</v>
      </c>
      <c r="B5" s="1">
        <v>15649016.74</v>
      </c>
      <c r="C5" s="1">
        <v>76442325</v>
      </c>
      <c r="D5" s="42">
        <f>(C5/B5)</f>
        <v>4.8848005130321051</v>
      </c>
      <c r="E5" s="1"/>
    </row>
    <row r="6" spans="1:5" x14ac:dyDescent="0.25">
      <c r="A6">
        <v>1925</v>
      </c>
      <c r="B6" s="1">
        <v>18427683.98</v>
      </c>
      <c r="C6" s="1">
        <v>94595383</v>
      </c>
      <c r="D6" s="42">
        <f>(C6/B6)</f>
        <v>5.1333299997257713</v>
      </c>
    </row>
    <row r="10" spans="1:5" x14ac:dyDescent="0.25">
      <c r="A10" t="s">
        <v>54</v>
      </c>
      <c r="B10" t="s">
        <v>53</v>
      </c>
    </row>
    <row r="11" spans="1:5" x14ac:dyDescent="0.25">
      <c r="A11" s="292" t="s">
        <v>729</v>
      </c>
      <c r="B11">
        <v>100.5</v>
      </c>
    </row>
    <row r="12" spans="1:5" x14ac:dyDescent="0.25">
      <c r="A12" s="292" t="s">
        <v>730</v>
      </c>
      <c r="B12">
        <v>103</v>
      </c>
    </row>
    <row r="13" spans="1:5" x14ac:dyDescent="0.25">
      <c r="A13" s="292" t="s">
        <v>731</v>
      </c>
      <c r="B13">
        <v>105</v>
      </c>
    </row>
    <row r="14" spans="1:5" x14ac:dyDescent="0.25">
      <c r="A14" s="292" t="s">
        <v>732</v>
      </c>
      <c r="B14">
        <v>104.4</v>
      </c>
    </row>
    <row r="15" spans="1:5" x14ac:dyDescent="0.25">
      <c r="A15" s="292" t="s">
        <v>733</v>
      </c>
      <c r="B15">
        <v>112.5</v>
      </c>
    </row>
    <row r="16" spans="1:5" x14ac:dyDescent="0.25">
      <c r="A16" s="292" t="s">
        <v>734</v>
      </c>
      <c r="B16">
        <v>112.5</v>
      </c>
    </row>
  </sheetData>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Annual Currency Data</vt:lpstr>
      <vt:lpstr>Currency Funds</vt:lpstr>
      <vt:lpstr>Banking Data</vt:lpstr>
      <vt:lpstr>Currency Graph</vt:lpstr>
      <vt:lpstr>Loans Graph</vt:lpstr>
      <vt:lpstr>Currency Board Analysis</vt:lpstr>
      <vt:lpstr>Currency Graph Depression</vt:lpstr>
      <vt:lpstr>Currency Funds and Export Graph</vt:lpstr>
      <vt:lpstr>Budget Balance</vt:lpstr>
      <vt:lpstr>Budget Balance Graph</vt:lpstr>
      <vt:lpstr>Annual Nonbank Data</vt:lpstr>
      <vt:lpstr>Monthly Circulation</vt:lpstr>
      <vt:lpstr>Silver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Ryan Freedman</cp:lastModifiedBy>
  <dcterms:created xsi:type="dcterms:W3CDTF">2017-03-01T03:02:13Z</dcterms:created>
  <dcterms:modified xsi:type="dcterms:W3CDTF">2017-10-24T13:59:58Z</dcterms:modified>
</cp:coreProperties>
</file>